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runo\BM Engenharia\Novatec Construções e Empreendimentos\Obras de Estradas em São Cristóvão\Rodovia dos Trabalhadores\Medições\Contratual\BM 23_Janeiro_2026\"/>
    </mc:Choice>
  </mc:AlternateContent>
  <xr:revisionPtr revIDLastSave="0" documentId="13_ncr:1_{AC8D9F5F-B1D6-4BF7-A448-A4F095EDC42D}" xr6:coauthVersionLast="47" xr6:coauthVersionMax="47" xr10:uidLastSave="{00000000-0000-0000-0000-000000000000}"/>
  <bookViews>
    <workbookView xWindow="-120" yWindow="-120" windowWidth="20730" windowHeight="11160" tabRatio="857" xr2:uid="{00000000-000D-0000-FFFF-FFFF00000000}"/>
  </bookViews>
  <sheets>
    <sheet name="RESUMO" sheetId="3" r:id="rId1"/>
    <sheet name="BOLETIM DE MEDIÇÃO" sheetId="1" r:id="rId2"/>
    <sheet name="PAVIMENTAÇÃO " sheetId="52" r:id="rId3"/>
    <sheet name="AQUISIÇÃO MAT. BETUMINOSOS" sheetId="54" r:id="rId4"/>
    <sheet name="DRENAGEM PLUVIAL " sheetId="56" state="hidden" r:id="rId5"/>
    <sheet name="HIDROSSEMEADURA " sheetId="55" state="hidden" r:id="rId6"/>
    <sheet name="ADM LOCAL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" hidden="1">#REF!</definedName>
    <definedName name="__123Graph_A" hidden="1">'[1]Cron Bas 2.10'!#REF!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ill" hidden="1">#REF!</definedName>
    <definedName name="_xlnm._FilterDatabase" localSheetId="1" hidden="1">'BOLETIM DE MEDIÇÃO'!$A$11:$T$208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cumulado" localSheetId="6">#REF!</definedName>
    <definedName name="acumulado">#REF!</definedName>
    <definedName name="ACUMULADO2">#REF!</definedName>
    <definedName name="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q_ASF" localSheetId="6">#REF!</definedName>
    <definedName name="Aq_ASF">#REF!</definedName>
    <definedName name="_xlnm.Print_Area" localSheetId="6">'ADM LOCAL'!$A$1:$D$32</definedName>
    <definedName name="_xlnm.Print_Area" localSheetId="3">'AQUISIÇÃO MAT. BETUMINOSOS'!$A$1:$H$7</definedName>
    <definedName name="_xlnm.Print_Area" localSheetId="1">'BOLETIM DE MEDIÇÃO'!$A$1:$S$209</definedName>
    <definedName name="_xlnm.Print_Area" localSheetId="4">'DRENAGEM PLUVIAL '!$A$1:$F$28</definedName>
    <definedName name="_xlnm.Print_Area" localSheetId="5">'HIDROSSEMEADURA '!$A$1:$G$19</definedName>
    <definedName name="_xlnm.Print_Area" localSheetId="2">'PAVIMENTAÇÃO '!$A$1:$M$18</definedName>
    <definedName name="_xlnm.Print_Area" localSheetId="0">RESUMO!$A$1:$J$26</definedName>
    <definedName name="A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becalho" localSheetId="6">#REF!</definedName>
    <definedName name="Cabecalho">#REF!</definedName>
    <definedName name="CABEÇALHO2">#REF!</definedName>
    <definedName name="Carga_SO" localSheetId="6">#REF!</definedName>
    <definedName name="Carga_SO">#REF!</definedName>
    <definedName name="CODENOME1" hidden="1">#N/A</definedName>
    <definedName name="concorrentes" hidden="1">{#N/A,#N/A,FALSE,"Cronograma";#N/A,#N/A,FALSE,"Cronogr. 2"}</definedName>
    <definedName name="database">[2]dez00!$F$1</definedName>
    <definedName name="descobrir" hidden="1">{#N/A,#N/A,FALSE,"Cronograma";#N/A,#N/A,FALSE,"Cronogr. 2"}</definedName>
    <definedName name="descobrir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3" hidden="1">{#N/A,#N/A,FALSE,"Cronograma";#N/A,#N/A,FALSE,"Cronogr. 2"}</definedName>
    <definedName name="descobrir4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NIVEL" hidden="1">{#N/A,#N/A,FALSE,"RESUMO-BB1";#N/A,#N/A,FALSE,"MOD-A01-R - BB1";#N/A,#N/A,FALSE,"URB-BB1"}</definedName>
    <definedName name="DRE" hidden="1">#REF!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dital" localSheetId="6">#REF!</definedName>
    <definedName name="edital">#REF!</definedName>
    <definedName name="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quipamento">[2]EQUIPAMENTO!$A$1:$E$154</definedName>
    <definedName name="Equipe">#REF!</definedName>
    <definedName name="Equipe_Realizado">[3]Projetado!$L$6:$L$17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tensao" localSheetId="6">#REF!</definedName>
    <definedName name="extensao">#REF!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rma1" localSheetId="6">#REF!</definedName>
    <definedName name="firma1">#REF!</definedName>
    <definedName name="firma2" localSheetId="6">#REF!</definedName>
    <definedName name="firma2">#REF!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upo_total">[4]Instruções!#REF!</definedName>
    <definedName name="HM" localSheetId="6">#REF!</definedName>
    <definedName name="HM">#REF!</definedName>
    <definedName name="I" localSheetId="6">'[5]RESTAURAÇÃO '!#REF!</definedName>
    <definedName name="I">'[5]RESTAURAÇÃO '!#REF!</definedName>
    <definedName name="lote" localSheetId="6">#REF!</definedName>
    <definedName name="lote">#REF!</definedName>
    <definedName name="material">[2]Material!$A$3:$F$230</definedName>
    <definedName name="mes" localSheetId="6">#REF!</definedName>
    <definedName name="mes">#REF!</definedName>
    <definedName name="M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sumo2" localSheetId="6">#REF!</definedName>
    <definedName name="resumo2">#REF!</definedName>
    <definedName name="rodovia" localSheetId="6">#REF!</definedName>
    <definedName name="rodovia">#REF!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" localSheetId="6">#REF!</definedName>
    <definedName name="SD">#REF!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rvico">[2]dez00!$A$3:$F$134</definedName>
    <definedName name="SINALIZAÇÃO" localSheetId="6">#REF!</definedName>
    <definedName name="SINALIZAÇÃO">#REF!</definedName>
    <definedName name="SO" localSheetId="6">#REF!</definedName>
    <definedName name="SO">#REF!</definedName>
    <definedName name="SP" localSheetId="6">#REF!</definedName>
    <definedName name="SP">#REF!</definedName>
    <definedName name="SS" hidden="1">[6]Plan4!#REF!</definedName>
    <definedName name="ST" localSheetId="6">#REF!</definedName>
    <definedName name="ST">#REF!</definedName>
    <definedName name="ST_HM" localSheetId="6">#REF!</definedName>
    <definedName name="ST_HM">#REF!</definedName>
    <definedName name="ST_SO" localSheetId="6">#REF!</definedName>
    <definedName name="ST_SO">#REF!</definedName>
    <definedName name="ST_SP" localSheetId="6">#REF!</definedName>
    <definedName name="ST_SP">#REF!</definedName>
    <definedName name="ST_ST" localSheetId="6">#REF!</definedName>
    <definedName name="ST_ST">#REF!</definedName>
    <definedName name="Sub_GERAL" localSheetId="6">#REF!</definedName>
    <definedName name="Sub_GERAL">#REF!</definedName>
    <definedName name="subtrecho" localSheetId="6">#REF!</definedName>
    <definedName name="subtrecho">#REF!</definedName>
    <definedName name="TABELA_SD" localSheetId="6">#REF!</definedName>
    <definedName name="TABELA_SD">#REF!</definedName>
    <definedName name="TABELA_SO" localSheetId="6">#REF!</definedName>
    <definedName name="TABELA_SO">#REF!</definedName>
    <definedName name="TABELA_SP" localSheetId="6">#REF!</definedName>
    <definedName name="TABELA_SP">#REF!</definedName>
    <definedName name="TABELA_ST" localSheetId="6">#REF!</definedName>
    <definedName name="TABELA_ST">#REF!</definedName>
    <definedName name="teste25" hidden="1">'[1]Cron Bas 2.10'!#REF!</definedName>
    <definedName name="_xlnm.Print_Titles" localSheetId="1">'BOLETIM DE MEDIÇÃO'!$1:$11</definedName>
    <definedName name="Transporte_ASF" localSheetId="6">#REF!</definedName>
    <definedName name="Transporte_ASF">#REF!</definedName>
    <definedName name="Transporte_da_folha_anterior" localSheetId="6">#REF!</definedName>
    <definedName name="Transporte_da_folha_anterior">#REF!</definedName>
    <definedName name="transporte_massa" localSheetId="6">#REF!</definedName>
    <definedName name="transporte_massa">#REF!</definedName>
    <definedName name="Transporte_SO" localSheetId="6">#REF!</definedName>
    <definedName name="Transporte_SO">#REF!</definedName>
    <definedName name="Transporte_SP" localSheetId="6">#REF!</definedName>
    <definedName name="Transporte_SP">#REF!</definedName>
    <definedName name="Transportr_ST" localSheetId="6">#REF!</definedName>
    <definedName name="Transportr_ST">#REF!</definedName>
    <definedName name="trecho" localSheetId="6">#REF!</definedName>
    <definedName name="trecho">#REF!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BB1." hidden="1">{#N/A,#N/A,FALSE,"RESUMO-BB1";#N/A,#N/A,FALSE,"MOD-A01-R - BB1";#N/A,#N/A,FALSE,"URB-BB1"}</definedName>
    <definedName name="wrn.BB2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6" i="1" l="1"/>
  <c r="G202" i="1" l="1"/>
  <c r="G201" i="1"/>
  <c r="G154" i="1"/>
  <c r="H154" i="1" s="1"/>
  <c r="G150" i="1" l="1"/>
  <c r="G152" i="1"/>
  <c r="G16" i="52"/>
  <c r="D20" i="56" l="1"/>
  <c r="D8" i="56"/>
  <c r="D14" i="56"/>
  <c r="F5" i="55"/>
  <c r="F4" i="55"/>
  <c r="F6" i="55" l="1"/>
  <c r="G194" i="1"/>
  <c r="G195" i="1" s="1"/>
  <c r="H14" i="52" l="1"/>
  <c r="G11" i="52" l="1"/>
  <c r="H16" i="52" l="1"/>
  <c r="H15" i="52"/>
  <c r="G15" i="52"/>
  <c r="G10" i="52"/>
  <c r="L12" i="52" s="1"/>
  <c r="L17" i="52" l="1"/>
  <c r="D7" i="54" s="1"/>
  <c r="G7" i="54" s="1"/>
  <c r="G6" i="54" l="1"/>
  <c r="L18" i="52"/>
  <c r="G205" i="1" l="1"/>
  <c r="D6" i="15" l="1"/>
  <c r="P197" i="1" l="1"/>
  <c r="N194" i="1"/>
  <c r="N195" i="1"/>
  <c r="N193" i="1"/>
  <c r="C13" i="15"/>
  <c r="Q197" i="1"/>
  <c r="C24" i="3"/>
  <c r="C22" i="3"/>
  <c r="B22" i="3"/>
  <c r="A22" i="3"/>
  <c r="P190" i="1"/>
  <c r="P189" i="1"/>
  <c r="P187" i="1"/>
  <c r="P186" i="1"/>
  <c r="P185" i="1"/>
  <c r="P184" i="1"/>
  <c r="P182" i="1"/>
  <c r="P181" i="1"/>
  <c r="P180" i="1"/>
  <c r="P179" i="1"/>
  <c r="P176" i="1"/>
  <c r="P158" i="1"/>
  <c r="P157" i="1"/>
  <c r="P139" i="1"/>
  <c r="P140" i="1"/>
  <c r="P133" i="1"/>
  <c r="P128" i="1"/>
  <c r="I131" i="1"/>
  <c r="I158" i="1"/>
  <c r="I197" i="1"/>
  <c r="I157" i="1"/>
  <c r="I142" i="1"/>
  <c r="I139" i="1"/>
  <c r="I140" i="1"/>
  <c r="I138" i="1"/>
  <c r="I128" i="1"/>
  <c r="I125" i="1"/>
  <c r="I122" i="1"/>
  <c r="I123" i="1"/>
  <c r="I121" i="1"/>
  <c r="I118" i="1"/>
  <c r="I119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91" i="1"/>
  <c r="I93" i="1"/>
  <c r="I94" i="1"/>
  <c r="I95" i="1"/>
  <c r="I96" i="1"/>
  <c r="I97" i="1"/>
  <c r="I74" i="1"/>
  <c r="I75" i="1"/>
  <c r="I78" i="1"/>
  <c r="I79" i="1"/>
  <c r="I80" i="1"/>
  <c r="I81" i="1"/>
  <c r="I83" i="1"/>
  <c r="I85" i="1"/>
  <c r="I73" i="1"/>
  <c r="I65" i="1"/>
  <c r="I66" i="1"/>
  <c r="I67" i="1"/>
  <c r="I68" i="1"/>
  <c r="I69" i="1"/>
  <c r="I70" i="1"/>
  <c r="I71" i="1"/>
  <c r="I64" i="1"/>
  <c r="I53" i="1"/>
  <c r="I54" i="1"/>
  <c r="I55" i="1"/>
  <c r="I56" i="1"/>
  <c r="I57" i="1"/>
  <c r="I58" i="1"/>
  <c r="I59" i="1"/>
  <c r="I52" i="1"/>
  <c r="G70" i="1" l="1"/>
  <c r="G69" i="1"/>
  <c r="D8" i="3"/>
  <c r="G71" i="1" l="1"/>
  <c r="K107" i="1" l="1"/>
  <c r="H86" i="1" l="1"/>
  <c r="I86" i="1" s="1"/>
  <c r="H87" i="1"/>
  <c r="I87" i="1" s="1"/>
  <c r="H88" i="1"/>
  <c r="I88" i="1" s="1"/>
  <c r="H89" i="1"/>
  <c r="I89" i="1" s="1"/>
  <c r="H90" i="1"/>
  <c r="I90" i="1" s="1"/>
  <c r="H91" i="1"/>
  <c r="H92" i="1"/>
  <c r="I92" i="1" s="1"/>
  <c r="H93" i="1"/>
  <c r="H94" i="1"/>
  <c r="H95" i="1"/>
  <c r="H96" i="1"/>
  <c r="H97" i="1"/>
  <c r="H98" i="1"/>
  <c r="H99" i="1"/>
  <c r="H100" i="1"/>
  <c r="H101" i="1"/>
  <c r="H102" i="1"/>
  <c r="H103" i="1"/>
  <c r="D7" i="15" l="1"/>
  <c r="H17" i="1" l="1"/>
  <c r="V25" i="1"/>
  <c r="K53" i="1"/>
  <c r="V41" i="1" l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2" i="1"/>
  <c r="V43" i="1"/>
  <c r="V44" i="1"/>
  <c r="V45" i="1"/>
  <c r="V46" i="1"/>
  <c r="V47" i="1"/>
  <c r="H47" i="1" s="1"/>
  <c r="V48" i="1"/>
  <c r="H48" i="1" s="1"/>
  <c r="V26" i="1"/>
  <c r="B23" i="3" l="1"/>
  <c r="A23" i="3"/>
  <c r="H205" i="1"/>
  <c r="I205" i="1" s="1"/>
  <c r="H206" i="1"/>
  <c r="I206" i="1" s="1"/>
  <c r="H204" i="1"/>
  <c r="I204" i="1" s="1"/>
  <c r="L205" i="1"/>
  <c r="M205" i="1"/>
  <c r="N205" i="1"/>
  <c r="Q205" i="1" s="1"/>
  <c r="L206" i="1"/>
  <c r="M206" i="1"/>
  <c r="N206" i="1"/>
  <c r="N204" i="1"/>
  <c r="M204" i="1"/>
  <c r="L204" i="1"/>
  <c r="N201" i="1"/>
  <c r="N202" i="1"/>
  <c r="N200" i="1"/>
  <c r="M201" i="1"/>
  <c r="M202" i="1"/>
  <c r="M200" i="1"/>
  <c r="H201" i="1"/>
  <c r="I201" i="1" s="1"/>
  <c r="H202" i="1"/>
  <c r="H200" i="1"/>
  <c r="L201" i="1"/>
  <c r="L202" i="1"/>
  <c r="L200" i="1"/>
  <c r="O202" i="1" l="1"/>
  <c r="P202" i="1" s="1"/>
  <c r="S202" i="1" s="1"/>
  <c r="I202" i="1"/>
  <c r="O200" i="1"/>
  <c r="P200" i="1" s="1"/>
  <c r="S200" i="1" s="1"/>
  <c r="I200" i="1"/>
  <c r="Q204" i="1"/>
  <c r="Q202" i="1"/>
  <c r="M199" i="1"/>
  <c r="Q201" i="1"/>
  <c r="L203" i="1"/>
  <c r="Q206" i="1"/>
  <c r="Q200" i="1"/>
  <c r="M203" i="1"/>
  <c r="N199" i="1"/>
  <c r="O204" i="1"/>
  <c r="P204" i="1" s="1"/>
  <c r="S204" i="1" s="1"/>
  <c r="O201" i="1"/>
  <c r="P201" i="1" s="1"/>
  <c r="S201" i="1" s="1"/>
  <c r="O205" i="1"/>
  <c r="P205" i="1" s="1"/>
  <c r="S205" i="1" s="1"/>
  <c r="N203" i="1"/>
  <c r="L199" i="1"/>
  <c r="O206" i="1"/>
  <c r="P206" i="1" s="1"/>
  <c r="S206" i="1" s="1"/>
  <c r="R202" i="1" l="1"/>
  <c r="R200" i="1"/>
  <c r="P203" i="1"/>
  <c r="S203" i="1" s="1"/>
  <c r="R205" i="1"/>
  <c r="R206" i="1"/>
  <c r="R201" i="1"/>
  <c r="R204" i="1"/>
  <c r="L198" i="1"/>
  <c r="C23" i="3" s="1"/>
  <c r="Q199" i="1"/>
  <c r="M198" i="1"/>
  <c r="D23" i="3" s="1"/>
  <c r="N198" i="1"/>
  <c r="E23" i="3" s="1"/>
  <c r="H23" i="3" s="1"/>
  <c r="Q203" i="1"/>
  <c r="P199" i="1"/>
  <c r="O199" i="1"/>
  <c r="O203" i="1"/>
  <c r="B7" i="3"/>
  <c r="D6" i="3"/>
  <c r="Q198" i="1" l="1"/>
  <c r="R203" i="1"/>
  <c r="R199" i="1"/>
  <c r="P198" i="1"/>
  <c r="S199" i="1"/>
  <c r="O198" i="1"/>
  <c r="H197" i="1"/>
  <c r="H190" i="1"/>
  <c r="I190" i="1" s="1"/>
  <c r="H189" i="1"/>
  <c r="H185" i="1"/>
  <c r="I185" i="1" s="1"/>
  <c r="H186" i="1"/>
  <c r="I186" i="1" s="1"/>
  <c r="H187" i="1"/>
  <c r="I187" i="1" s="1"/>
  <c r="H184" i="1"/>
  <c r="H180" i="1"/>
  <c r="H181" i="1"/>
  <c r="I181" i="1" s="1"/>
  <c r="H182" i="1"/>
  <c r="H179" i="1"/>
  <c r="I179" i="1" s="1"/>
  <c r="H177" i="1"/>
  <c r="I177" i="1" s="1"/>
  <c r="H176" i="1"/>
  <c r="H170" i="1"/>
  <c r="I170" i="1" s="1"/>
  <c r="H171" i="1"/>
  <c r="I171" i="1" s="1"/>
  <c r="H172" i="1"/>
  <c r="I172" i="1" s="1"/>
  <c r="H173" i="1"/>
  <c r="I173" i="1" s="1"/>
  <c r="H169" i="1"/>
  <c r="H162" i="1"/>
  <c r="H163" i="1"/>
  <c r="H164" i="1"/>
  <c r="H165" i="1"/>
  <c r="I165" i="1" s="1"/>
  <c r="H166" i="1"/>
  <c r="H167" i="1"/>
  <c r="H161" i="1"/>
  <c r="H158" i="1"/>
  <c r="H157" i="1"/>
  <c r="H155" i="1"/>
  <c r="H152" i="1"/>
  <c r="I152" i="1" s="1"/>
  <c r="H150" i="1"/>
  <c r="I150" i="1" s="1"/>
  <c r="H148" i="1"/>
  <c r="I148" i="1" s="1"/>
  <c r="H145" i="1"/>
  <c r="I145" i="1" s="1"/>
  <c r="H143" i="1"/>
  <c r="H142" i="1"/>
  <c r="H139" i="1"/>
  <c r="H140" i="1"/>
  <c r="H138" i="1"/>
  <c r="H135" i="1"/>
  <c r="I135" i="1" s="1"/>
  <c r="H132" i="1"/>
  <c r="H133" i="1"/>
  <c r="H131" i="1"/>
  <c r="H128" i="1"/>
  <c r="H125" i="1"/>
  <c r="H122" i="1"/>
  <c r="H123" i="1"/>
  <c r="H121" i="1"/>
  <c r="H115" i="1"/>
  <c r="I115" i="1" s="1"/>
  <c r="H116" i="1"/>
  <c r="I116" i="1" s="1"/>
  <c r="H117" i="1"/>
  <c r="I117" i="1" s="1"/>
  <c r="H118" i="1"/>
  <c r="H119" i="1"/>
  <c r="H114" i="1"/>
  <c r="I114" i="1" s="1"/>
  <c r="H76" i="1"/>
  <c r="I76" i="1" s="1"/>
  <c r="H77" i="1"/>
  <c r="I77" i="1" s="1"/>
  <c r="H78" i="1"/>
  <c r="H81" i="1"/>
  <c r="H82" i="1"/>
  <c r="I82" i="1" s="1"/>
  <c r="H83" i="1"/>
  <c r="H84" i="1"/>
  <c r="I84" i="1" s="1"/>
  <c r="H85" i="1"/>
  <c r="H104" i="1"/>
  <c r="H105" i="1"/>
  <c r="H106" i="1"/>
  <c r="H107" i="1"/>
  <c r="H108" i="1"/>
  <c r="H109" i="1"/>
  <c r="H110" i="1"/>
  <c r="H111" i="1"/>
  <c r="H112" i="1"/>
  <c r="H65" i="1"/>
  <c r="H67" i="1"/>
  <c r="H68" i="1"/>
  <c r="H69" i="1"/>
  <c r="H70" i="1"/>
  <c r="H71" i="1"/>
  <c r="H64" i="1"/>
  <c r="H53" i="1"/>
  <c r="H54" i="1"/>
  <c r="H55" i="1"/>
  <c r="H56" i="1"/>
  <c r="H57" i="1"/>
  <c r="H58" i="1"/>
  <c r="H59" i="1"/>
  <c r="H60" i="1"/>
  <c r="I60" i="1" s="1"/>
  <c r="H52" i="1"/>
  <c r="I48" i="1"/>
  <c r="I47" i="1"/>
  <c r="H42" i="1"/>
  <c r="I42" i="1" s="1"/>
  <c r="H43" i="1"/>
  <c r="H44" i="1"/>
  <c r="H45" i="1"/>
  <c r="I45" i="1" s="1"/>
  <c r="H41" i="1"/>
  <c r="I41" i="1" s="1"/>
  <c r="H36" i="1"/>
  <c r="H37" i="1"/>
  <c r="I37" i="1" s="1"/>
  <c r="H38" i="1"/>
  <c r="I38" i="1" s="1"/>
  <c r="H39" i="1"/>
  <c r="I39" i="1" s="1"/>
  <c r="H35" i="1"/>
  <c r="I35" i="1" s="1"/>
  <c r="H33" i="1"/>
  <c r="I33" i="1" s="1"/>
  <c r="H29" i="1"/>
  <c r="H30" i="1"/>
  <c r="I30" i="1" s="1"/>
  <c r="H31" i="1"/>
  <c r="H28" i="1"/>
  <c r="H26" i="1"/>
  <c r="H22" i="1"/>
  <c r="H18" i="1"/>
  <c r="I18" i="1" s="1"/>
  <c r="H19" i="1"/>
  <c r="H20" i="1"/>
  <c r="I17" i="1"/>
  <c r="H15" i="1"/>
  <c r="N15" i="1"/>
  <c r="R198" i="1" l="1"/>
  <c r="I154" i="1"/>
  <c r="G23" i="3"/>
  <c r="S198" i="1"/>
  <c r="F23" i="3"/>
  <c r="M15" i="1"/>
  <c r="M14" i="1" s="1"/>
  <c r="I43" i="1"/>
  <c r="I20" i="1"/>
  <c r="I19" i="1"/>
  <c r="I26" i="1"/>
  <c r="I28" i="1"/>
  <c r="I163" i="1"/>
  <c r="I176" i="1"/>
  <c r="O15" i="1"/>
  <c r="N14" i="1"/>
  <c r="I31" i="1"/>
  <c r="I15" i="1"/>
  <c r="P15" i="1" s="1"/>
  <c r="I180" i="1"/>
  <c r="I169" i="1"/>
  <c r="I22" i="1"/>
  <c r="I167" i="1"/>
  <c r="I44" i="1"/>
  <c r="I166" i="1"/>
  <c r="I184" i="1"/>
  <c r="I164" i="1"/>
  <c r="I36" i="1"/>
  <c r="I161" i="1"/>
  <c r="I189" i="1"/>
  <c r="I29" i="1"/>
  <c r="I162" i="1"/>
  <c r="I182" i="1"/>
  <c r="K197" i="1"/>
  <c r="K195" i="1"/>
  <c r="K194" i="1"/>
  <c r="K193" i="1"/>
  <c r="M193" i="1" s="1"/>
  <c r="K190" i="1"/>
  <c r="K189" i="1"/>
  <c r="O189" i="1" s="1"/>
  <c r="K187" i="1"/>
  <c r="O187" i="1" s="1"/>
  <c r="K186" i="1"/>
  <c r="K185" i="1"/>
  <c r="O185" i="1" s="1"/>
  <c r="K184" i="1"/>
  <c r="O184" i="1" s="1"/>
  <c r="K182" i="1"/>
  <c r="M182" i="1" s="1"/>
  <c r="K181" i="1"/>
  <c r="K180" i="1"/>
  <c r="K179" i="1"/>
  <c r="O179" i="1" s="1"/>
  <c r="K177" i="1"/>
  <c r="O177" i="1" s="1"/>
  <c r="P177" i="1" s="1"/>
  <c r="K176" i="1"/>
  <c r="K173" i="1"/>
  <c r="O173" i="1" s="1"/>
  <c r="K172" i="1"/>
  <c r="K171" i="1"/>
  <c r="K170" i="1"/>
  <c r="K169" i="1"/>
  <c r="K167" i="1"/>
  <c r="K166" i="1"/>
  <c r="O166" i="1" s="1"/>
  <c r="K165" i="1"/>
  <c r="K164" i="1"/>
  <c r="O164" i="1" s="1"/>
  <c r="K163" i="1"/>
  <c r="K162" i="1"/>
  <c r="O162" i="1" s="1"/>
  <c r="K161" i="1"/>
  <c r="K158" i="1"/>
  <c r="K157" i="1"/>
  <c r="O157" i="1" s="1"/>
  <c r="K155" i="1"/>
  <c r="O155" i="1" s="1"/>
  <c r="P155" i="1" s="1"/>
  <c r="K154" i="1"/>
  <c r="K152" i="1"/>
  <c r="K150" i="1"/>
  <c r="K148" i="1"/>
  <c r="K145" i="1"/>
  <c r="K143" i="1"/>
  <c r="O143" i="1" s="1"/>
  <c r="K142" i="1"/>
  <c r="O142" i="1" s="1"/>
  <c r="K140" i="1"/>
  <c r="K139" i="1"/>
  <c r="O139" i="1" s="1"/>
  <c r="K138" i="1"/>
  <c r="K135" i="1"/>
  <c r="K133" i="1"/>
  <c r="K132" i="1"/>
  <c r="K131" i="1"/>
  <c r="K128" i="1"/>
  <c r="O128" i="1" s="1"/>
  <c r="K125" i="1"/>
  <c r="K123" i="1"/>
  <c r="K122" i="1"/>
  <c r="K121" i="1"/>
  <c r="K119" i="1"/>
  <c r="K118" i="1"/>
  <c r="K117" i="1"/>
  <c r="K116" i="1"/>
  <c r="P116" i="1" s="1"/>
  <c r="K115" i="1"/>
  <c r="K114" i="1"/>
  <c r="O114" i="1" s="1"/>
  <c r="K112" i="1"/>
  <c r="K111" i="1"/>
  <c r="K110" i="1"/>
  <c r="K109" i="1"/>
  <c r="K108" i="1"/>
  <c r="P107" i="1"/>
  <c r="K106" i="1"/>
  <c r="K105" i="1"/>
  <c r="O105" i="1" s="1"/>
  <c r="K104" i="1"/>
  <c r="O104" i="1" s="1"/>
  <c r="K103" i="1"/>
  <c r="K102" i="1"/>
  <c r="K101" i="1"/>
  <c r="K100" i="1"/>
  <c r="O100" i="1" s="1"/>
  <c r="K99" i="1"/>
  <c r="O99" i="1" s="1"/>
  <c r="K98" i="1"/>
  <c r="K97" i="1"/>
  <c r="O97" i="1" s="1"/>
  <c r="K96" i="1"/>
  <c r="K95" i="1"/>
  <c r="O95" i="1" s="1"/>
  <c r="K94" i="1"/>
  <c r="O94" i="1" s="1"/>
  <c r="K93" i="1"/>
  <c r="K92" i="1"/>
  <c r="K91" i="1"/>
  <c r="O91" i="1" s="1"/>
  <c r="K90" i="1"/>
  <c r="K89" i="1"/>
  <c r="K88" i="1"/>
  <c r="K87" i="1"/>
  <c r="K86" i="1"/>
  <c r="O86" i="1" s="1"/>
  <c r="K85" i="1"/>
  <c r="K84" i="1"/>
  <c r="K83" i="1"/>
  <c r="O83" i="1" s="1"/>
  <c r="K82" i="1"/>
  <c r="K81" i="1"/>
  <c r="O81" i="1" s="1"/>
  <c r="K80" i="1"/>
  <c r="K79" i="1"/>
  <c r="K78" i="1"/>
  <c r="K77" i="1"/>
  <c r="O77" i="1" s="1"/>
  <c r="K76" i="1"/>
  <c r="K75" i="1"/>
  <c r="K74" i="1"/>
  <c r="K73" i="1"/>
  <c r="K71" i="1"/>
  <c r="K70" i="1"/>
  <c r="O70" i="1" s="1"/>
  <c r="K69" i="1"/>
  <c r="K68" i="1"/>
  <c r="K67" i="1"/>
  <c r="K66" i="1"/>
  <c r="K65" i="1"/>
  <c r="K64" i="1"/>
  <c r="O64" i="1" s="1"/>
  <c r="K60" i="1"/>
  <c r="O60" i="1" s="1"/>
  <c r="K59" i="1"/>
  <c r="K58" i="1"/>
  <c r="U58" i="1" s="1"/>
  <c r="K57" i="1"/>
  <c r="K56" i="1"/>
  <c r="K55" i="1"/>
  <c r="K54" i="1"/>
  <c r="O54" i="1" s="1"/>
  <c r="K52" i="1"/>
  <c r="K48" i="1"/>
  <c r="K47" i="1"/>
  <c r="K45" i="1"/>
  <c r="K44" i="1"/>
  <c r="K43" i="1"/>
  <c r="O43" i="1" s="1"/>
  <c r="K42" i="1"/>
  <c r="K41" i="1"/>
  <c r="K39" i="1"/>
  <c r="K38" i="1"/>
  <c r="O38" i="1" s="1"/>
  <c r="K37" i="1"/>
  <c r="O37" i="1" s="1"/>
  <c r="K36" i="1"/>
  <c r="K35" i="1"/>
  <c r="K33" i="1"/>
  <c r="K31" i="1"/>
  <c r="O31" i="1" s="1"/>
  <c r="K30" i="1"/>
  <c r="K29" i="1"/>
  <c r="O29" i="1" s="1"/>
  <c r="K28" i="1"/>
  <c r="K26" i="1"/>
  <c r="O26" i="1" s="1"/>
  <c r="K25" i="1"/>
  <c r="K22" i="1"/>
  <c r="O22" i="1" s="1"/>
  <c r="K20" i="1"/>
  <c r="O20" i="1" s="1"/>
  <c r="K19" i="1"/>
  <c r="O19" i="1" s="1"/>
  <c r="K18" i="1"/>
  <c r="O18" i="1" s="1"/>
  <c r="K17" i="1"/>
  <c r="O17" i="1" s="1"/>
  <c r="L15" i="1"/>
  <c r="Q15" i="1" s="1"/>
  <c r="B21" i="3"/>
  <c r="B20" i="3"/>
  <c r="B19" i="3"/>
  <c r="B18" i="3"/>
  <c r="B17" i="3"/>
  <c r="B16" i="3"/>
  <c r="B15" i="3"/>
  <c r="B14" i="3"/>
  <c r="A21" i="3"/>
  <c r="A20" i="3"/>
  <c r="A19" i="3"/>
  <c r="A18" i="3"/>
  <c r="A17" i="3"/>
  <c r="A16" i="3"/>
  <c r="A15" i="3"/>
  <c r="A14" i="3"/>
  <c r="J23" i="3" l="1"/>
  <c r="K23" i="3"/>
  <c r="I23" i="3"/>
  <c r="O154" i="1"/>
  <c r="R15" i="1"/>
  <c r="P14" i="1"/>
  <c r="S15" i="1"/>
  <c r="O127" i="1"/>
  <c r="O21" i="1"/>
  <c r="O14" i="1"/>
  <c r="P64" i="1"/>
  <c r="P164" i="1"/>
  <c r="P105" i="1"/>
  <c r="O16" i="1"/>
  <c r="N35" i="1"/>
  <c r="M35" i="1"/>
  <c r="M76" i="1"/>
  <c r="N76" i="1"/>
  <c r="M108" i="1"/>
  <c r="N108" i="1"/>
  <c r="L169" i="1"/>
  <c r="N169" i="1"/>
  <c r="M169" i="1"/>
  <c r="N25" i="1"/>
  <c r="L36" i="1"/>
  <c r="M36" i="1"/>
  <c r="N36" i="1"/>
  <c r="M45" i="1"/>
  <c r="N45" i="1"/>
  <c r="M57" i="1"/>
  <c r="N57" i="1"/>
  <c r="M68" i="1"/>
  <c r="N68" i="1"/>
  <c r="L77" i="1"/>
  <c r="M77" i="1"/>
  <c r="N77" i="1"/>
  <c r="Q77" i="1" s="1"/>
  <c r="L85" i="1"/>
  <c r="M85" i="1"/>
  <c r="N85" i="1"/>
  <c r="L93" i="1"/>
  <c r="M93" i="1"/>
  <c r="N93" i="1"/>
  <c r="L101" i="1"/>
  <c r="M101" i="1"/>
  <c r="N101" i="1"/>
  <c r="L109" i="1"/>
  <c r="M109" i="1"/>
  <c r="N109" i="1"/>
  <c r="L118" i="1"/>
  <c r="N118" i="1"/>
  <c r="M118" i="1"/>
  <c r="L132" i="1"/>
  <c r="M132" i="1"/>
  <c r="N132" i="1"/>
  <c r="O132" i="1"/>
  <c r="L145" i="1"/>
  <c r="L144" i="1" s="1"/>
  <c r="M145" i="1"/>
  <c r="M144" i="1" s="1"/>
  <c r="O145" i="1"/>
  <c r="P145" i="1" s="1"/>
  <c r="N145" i="1"/>
  <c r="L161" i="1"/>
  <c r="M161" i="1"/>
  <c r="O161" i="1"/>
  <c r="N161" i="1"/>
  <c r="L170" i="1"/>
  <c r="N170" i="1"/>
  <c r="M170" i="1"/>
  <c r="O170" i="1"/>
  <c r="L181" i="1"/>
  <c r="M181" i="1"/>
  <c r="N181" i="1"/>
  <c r="L193" i="1"/>
  <c r="O181" i="1"/>
  <c r="O107" i="1"/>
  <c r="M58" i="1"/>
  <c r="N58" i="1"/>
  <c r="O58" i="1"/>
  <c r="L94" i="1"/>
  <c r="R94" i="1" s="1"/>
  <c r="M94" i="1"/>
  <c r="N94" i="1"/>
  <c r="M110" i="1"/>
  <c r="N110" i="1"/>
  <c r="O110" i="1"/>
  <c r="L133" i="1"/>
  <c r="M133" i="1"/>
  <c r="N133" i="1"/>
  <c r="L162" i="1"/>
  <c r="R162" i="1" s="1"/>
  <c r="M162" i="1"/>
  <c r="N162" i="1"/>
  <c r="L171" i="1"/>
  <c r="M171" i="1"/>
  <c r="N171" i="1"/>
  <c r="L194" i="1"/>
  <c r="P43" i="1"/>
  <c r="O85" i="1"/>
  <c r="O101" i="1"/>
  <c r="O109" i="1"/>
  <c r="L44" i="1"/>
  <c r="M44" i="1"/>
  <c r="N44" i="1"/>
  <c r="L92" i="1"/>
  <c r="M92" i="1"/>
  <c r="O92" i="1"/>
  <c r="N92" i="1"/>
  <c r="M117" i="1"/>
  <c r="N117" i="1"/>
  <c r="L158" i="1"/>
  <c r="M158" i="1"/>
  <c r="N158" i="1"/>
  <c r="L190" i="1"/>
  <c r="M190" i="1"/>
  <c r="N190" i="1"/>
  <c r="O190" i="1"/>
  <c r="L26" i="1"/>
  <c r="R26" i="1" s="1"/>
  <c r="N26" i="1"/>
  <c r="M26" i="1"/>
  <c r="L47" i="1"/>
  <c r="M47" i="1"/>
  <c r="O47" i="1"/>
  <c r="N47" i="1"/>
  <c r="M78" i="1"/>
  <c r="N78" i="1"/>
  <c r="O78" i="1"/>
  <c r="L102" i="1"/>
  <c r="M102" i="1"/>
  <c r="N102" i="1"/>
  <c r="O102" i="1"/>
  <c r="N119" i="1"/>
  <c r="M119" i="1"/>
  <c r="L148" i="1"/>
  <c r="L147" i="1" s="1"/>
  <c r="O148" i="1"/>
  <c r="P148" i="1" s="1"/>
  <c r="M148" i="1"/>
  <c r="M147" i="1" s="1"/>
  <c r="N148" i="1"/>
  <c r="L182" i="1"/>
  <c r="N182" i="1"/>
  <c r="M28" i="1"/>
  <c r="N28" i="1"/>
  <c r="L38" i="1"/>
  <c r="R38" i="1" s="1"/>
  <c r="N38" i="1"/>
  <c r="M38" i="1"/>
  <c r="L48" i="1"/>
  <c r="M48" i="1"/>
  <c r="N48" i="1"/>
  <c r="O48" i="1"/>
  <c r="L59" i="1"/>
  <c r="N59" i="1"/>
  <c r="M59" i="1"/>
  <c r="L70" i="1"/>
  <c r="R70" i="1" s="1"/>
  <c r="N70" i="1"/>
  <c r="M70" i="1"/>
  <c r="L79" i="1"/>
  <c r="M79" i="1"/>
  <c r="L87" i="1"/>
  <c r="N87" i="1"/>
  <c r="M87" i="1"/>
  <c r="L95" i="1"/>
  <c r="R95" i="1" s="1"/>
  <c r="M95" i="1"/>
  <c r="N95" i="1"/>
  <c r="L103" i="1"/>
  <c r="O103" i="1"/>
  <c r="N103" i="1"/>
  <c r="M103" i="1"/>
  <c r="L111" i="1"/>
  <c r="N111" i="1"/>
  <c r="M111" i="1"/>
  <c r="O111" i="1"/>
  <c r="L121" i="1"/>
  <c r="N121" i="1"/>
  <c r="M121" i="1"/>
  <c r="L135" i="1"/>
  <c r="L134" i="1" s="1"/>
  <c r="N135" i="1"/>
  <c r="M135" i="1"/>
  <c r="M134" i="1" s="1"/>
  <c r="L150" i="1"/>
  <c r="L149" i="1" s="1"/>
  <c r="N150" i="1"/>
  <c r="M150" i="1"/>
  <c r="M149" i="1" s="1"/>
  <c r="L163" i="1"/>
  <c r="N163" i="1"/>
  <c r="M163" i="1"/>
  <c r="L172" i="1"/>
  <c r="M172" i="1"/>
  <c r="N172" i="1"/>
  <c r="O172" i="1"/>
  <c r="L184" i="1"/>
  <c r="R184" i="1" s="1"/>
  <c r="N184" i="1"/>
  <c r="M184" i="1"/>
  <c r="O35" i="1"/>
  <c r="O150" i="1"/>
  <c r="P150" i="1" s="1"/>
  <c r="O36" i="1"/>
  <c r="O28" i="1"/>
  <c r="O182" i="1"/>
  <c r="O133" i="1"/>
  <c r="L84" i="1"/>
  <c r="M84" i="1"/>
  <c r="N84" i="1"/>
  <c r="O84" i="1"/>
  <c r="L180" i="1"/>
  <c r="M180" i="1"/>
  <c r="N180" i="1"/>
  <c r="O180" i="1"/>
  <c r="M69" i="1"/>
  <c r="N69" i="1"/>
  <c r="L17" i="1"/>
  <c r="R17" i="1" s="1"/>
  <c r="M17" i="1"/>
  <c r="N17" i="1"/>
  <c r="L39" i="1"/>
  <c r="M39" i="1"/>
  <c r="N39" i="1"/>
  <c r="L52" i="1"/>
  <c r="O52" i="1"/>
  <c r="N52" i="1"/>
  <c r="M52" i="1"/>
  <c r="L60" i="1"/>
  <c r="R60" i="1" s="1"/>
  <c r="M60" i="1"/>
  <c r="N60" i="1"/>
  <c r="L71" i="1"/>
  <c r="N71" i="1"/>
  <c r="M71" i="1"/>
  <c r="L80" i="1"/>
  <c r="M80" i="1"/>
  <c r="L88" i="1"/>
  <c r="N88" i="1"/>
  <c r="M88" i="1"/>
  <c r="L96" i="1"/>
  <c r="N96" i="1"/>
  <c r="M96" i="1"/>
  <c r="L104" i="1"/>
  <c r="R104" i="1" s="1"/>
  <c r="N104" i="1"/>
  <c r="M104" i="1"/>
  <c r="L112" i="1"/>
  <c r="N112" i="1"/>
  <c r="M112" i="1"/>
  <c r="O122" i="1"/>
  <c r="N122" i="1"/>
  <c r="M122" i="1"/>
  <c r="L138" i="1"/>
  <c r="O138" i="1"/>
  <c r="N138" i="1"/>
  <c r="M138" i="1"/>
  <c r="L152" i="1"/>
  <c r="L151" i="1" s="1"/>
  <c r="O152" i="1"/>
  <c r="N152" i="1"/>
  <c r="M152" i="1"/>
  <c r="M151" i="1" s="1"/>
  <c r="L164" i="1"/>
  <c r="R164" i="1" s="1"/>
  <c r="M164" i="1"/>
  <c r="N164" i="1"/>
  <c r="L173" i="1"/>
  <c r="R173" i="1" s="1"/>
  <c r="M173" i="1"/>
  <c r="N173" i="1"/>
  <c r="L185" i="1"/>
  <c r="R185" i="1" s="1"/>
  <c r="N185" i="1"/>
  <c r="M185" i="1"/>
  <c r="L197" i="1"/>
  <c r="L196" i="1" s="1"/>
  <c r="N197" i="1"/>
  <c r="M197" i="1"/>
  <c r="M196" i="1" s="1"/>
  <c r="O39" i="1"/>
  <c r="O135" i="1"/>
  <c r="P135" i="1" s="1"/>
  <c r="O119" i="1"/>
  <c r="O197" i="1"/>
  <c r="O169" i="1"/>
  <c r="O108" i="1"/>
  <c r="O88" i="1"/>
  <c r="M56" i="1"/>
  <c r="N56" i="1"/>
  <c r="L143" i="1"/>
  <c r="N143" i="1"/>
  <c r="L29" i="1"/>
  <c r="R29" i="1" s="1"/>
  <c r="M29" i="1"/>
  <c r="N29" i="1"/>
  <c r="N41" i="1"/>
  <c r="M41" i="1"/>
  <c r="O41" i="1"/>
  <c r="L64" i="1"/>
  <c r="R64" i="1" s="1"/>
  <c r="N64" i="1"/>
  <c r="M64" i="1"/>
  <c r="L73" i="1"/>
  <c r="M73" i="1"/>
  <c r="L89" i="1"/>
  <c r="M89" i="1"/>
  <c r="N89" i="1"/>
  <c r="L105" i="1"/>
  <c r="R105" i="1" s="1"/>
  <c r="M105" i="1"/>
  <c r="N105" i="1"/>
  <c r="N114" i="1"/>
  <c r="M114" i="1"/>
  <c r="M123" i="1"/>
  <c r="N123" i="1"/>
  <c r="L139" i="1"/>
  <c r="R139" i="1" s="1"/>
  <c r="N139" i="1"/>
  <c r="M139" i="1"/>
  <c r="L154" i="1"/>
  <c r="N154" i="1"/>
  <c r="M154" i="1"/>
  <c r="L165" i="1"/>
  <c r="N165" i="1"/>
  <c r="M165" i="1"/>
  <c r="O165" i="1"/>
  <c r="L176" i="1"/>
  <c r="N176" i="1"/>
  <c r="M176" i="1"/>
  <c r="L186" i="1"/>
  <c r="T186" i="1" s="1"/>
  <c r="M186" i="1"/>
  <c r="N186" i="1"/>
  <c r="P96" i="1"/>
  <c r="O116" i="1"/>
  <c r="O96" i="1"/>
  <c r="O176" i="1"/>
  <c r="O76" i="1"/>
  <c r="O69" i="1"/>
  <c r="O121" i="1"/>
  <c r="L22" i="1"/>
  <c r="L21" i="1" s="1"/>
  <c r="N22" i="1"/>
  <c r="M22" i="1"/>
  <c r="M21" i="1" s="1"/>
  <c r="L67" i="1"/>
  <c r="M67" i="1"/>
  <c r="N67" i="1"/>
  <c r="O67" i="1"/>
  <c r="M100" i="1"/>
  <c r="N100" i="1"/>
  <c r="L131" i="1"/>
  <c r="N131" i="1"/>
  <c r="M131" i="1"/>
  <c r="M37" i="1"/>
  <c r="N37" i="1"/>
  <c r="M86" i="1"/>
  <c r="N86" i="1"/>
  <c r="L18" i="1"/>
  <c r="R18" i="1" s="1"/>
  <c r="M18" i="1"/>
  <c r="N18" i="1"/>
  <c r="O30" i="1"/>
  <c r="M30" i="1"/>
  <c r="N30" i="1"/>
  <c r="L53" i="1"/>
  <c r="M53" i="1"/>
  <c r="N53" i="1"/>
  <c r="O53" i="1"/>
  <c r="L81" i="1"/>
  <c r="R81" i="1" s="1"/>
  <c r="M81" i="1"/>
  <c r="N81" i="1"/>
  <c r="L97" i="1"/>
  <c r="R97" i="1" s="1"/>
  <c r="M97" i="1"/>
  <c r="N97" i="1"/>
  <c r="L19" i="1"/>
  <c r="R19" i="1" s="1"/>
  <c r="N19" i="1"/>
  <c r="M19" i="1"/>
  <c r="M31" i="1"/>
  <c r="N31" i="1"/>
  <c r="L42" i="1"/>
  <c r="M42" i="1"/>
  <c r="N42" i="1"/>
  <c r="L54" i="1"/>
  <c r="R54" i="1" s="1"/>
  <c r="M54" i="1"/>
  <c r="N54" i="1"/>
  <c r="L65" i="1"/>
  <c r="M65" i="1"/>
  <c r="N65" i="1"/>
  <c r="O65" i="1"/>
  <c r="L74" i="1"/>
  <c r="M74" i="1"/>
  <c r="M82" i="1"/>
  <c r="N82" i="1"/>
  <c r="O82" i="1"/>
  <c r="L90" i="1"/>
  <c r="M90" i="1"/>
  <c r="N90" i="1"/>
  <c r="O90" i="1"/>
  <c r="M98" i="1"/>
  <c r="N98" i="1"/>
  <c r="O98" i="1"/>
  <c r="L106" i="1"/>
  <c r="N106" i="1"/>
  <c r="M106" i="1"/>
  <c r="O106" i="1"/>
  <c r="M115" i="1"/>
  <c r="N115" i="1"/>
  <c r="O115" i="1"/>
  <c r="L125" i="1"/>
  <c r="L124" i="1" s="1"/>
  <c r="N125" i="1"/>
  <c r="M125" i="1"/>
  <c r="M124" i="1" s="1"/>
  <c r="O125" i="1"/>
  <c r="L140" i="1"/>
  <c r="M140" i="1"/>
  <c r="N140" i="1"/>
  <c r="L155" i="1"/>
  <c r="R155" i="1" s="1"/>
  <c r="N155" i="1"/>
  <c r="M155" i="1"/>
  <c r="L166" i="1"/>
  <c r="R166" i="1" s="1"/>
  <c r="M166" i="1"/>
  <c r="N166" i="1"/>
  <c r="L177" i="1"/>
  <c r="R177" i="1" s="1"/>
  <c r="N177" i="1"/>
  <c r="M177" i="1"/>
  <c r="L187" i="1"/>
  <c r="R187" i="1" s="1"/>
  <c r="M187" i="1"/>
  <c r="N187" i="1"/>
  <c r="O42" i="1"/>
  <c r="O93" i="1"/>
  <c r="O71" i="1"/>
  <c r="O118" i="1"/>
  <c r="O112" i="1"/>
  <c r="O131" i="1"/>
  <c r="O57" i="1"/>
  <c r="O171" i="1"/>
  <c r="O158" i="1"/>
  <c r="O59" i="1"/>
  <c r="O117" i="1"/>
  <c r="L20" i="1"/>
  <c r="R20" i="1" s="1"/>
  <c r="M20" i="1"/>
  <c r="N20" i="1"/>
  <c r="O33" i="1"/>
  <c r="N33" i="1"/>
  <c r="M33" i="1"/>
  <c r="M32" i="1" s="1"/>
  <c r="L43" i="1"/>
  <c r="R43" i="1" s="1"/>
  <c r="M43" i="1"/>
  <c r="N43" i="1"/>
  <c r="L55" i="1"/>
  <c r="M55" i="1"/>
  <c r="O55" i="1"/>
  <c r="N55" i="1"/>
  <c r="L66" i="1"/>
  <c r="N66" i="1"/>
  <c r="L75" i="1"/>
  <c r="L83" i="1"/>
  <c r="R83" i="1" s="1"/>
  <c r="M83" i="1"/>
  <c r="N83" i="1"/>
  <c r="L91" i="1"/>
  <c r="R91" i="1" s="1"/>
  <c r="M91" i="1"/>
  <c r="N91" i="1"/>
  <c r="L99" i="1"/>
  <c r="R99" i="1" s="1"/>
  <c r="M99" i="1"/>
  <c r="N99" i="1"/>
  <c r="L107" i="1"/>
  <c r="T107" i="1" s="1"/>
  <c r="M107" i="1"/>
  <c r="N107" i="1"/>
  <c r="L116" i="1"/>
  <c r="T116" i="1" s="1"/>
  <c r="M116" i="1"/>
  <c r="N116" i="1"/>
  <c r="M128" i="1"/>
  <c r="M127" i="1" s="1"/>
  <c r="N128" i="1"/>
  <c r="M142" i="1"/>
  <c r="N142" i="1"/>
  <c r="L157" i="1"/>
  <c r="R157" i="1" s="1"/>
  <c r="M157" i="1"/>
  <c r="N157" i="1"/>
  <c r="L167" i="1"/>
  <c r="O167" i="1"/>
  <c r="M167" i="1"/>
  <c r="N167" i="1"/>
  <c r="L179" i="1"/>
  <c r="R179" i="1" s="1"/>
  <c r="M179" i="1"/>
  <c r="M178" i="1" s="1"/>
  <c r="N179" i="1"/>
  <c r="L189" i="1"/>
  <c r="M189" i="1"/>
  <c r="N189" i="1"/>
  <c r="P81" i="1"/>
  <c r="P20" i="1"/>
  <c r="S20" i="1" s="1"/>
  <c r="P167" i="1"/>
  <c r="P18" i="1"/>
  <c r="S18" i="1" s="1"/>
  <c r="O45" i="1"/>
  <c r="O68" i="1"/>
  <c r="O44" i="1"/>
  <c r="O123" i="1"/>
  <c r="O163" i="1"/>
  <c r="O56" i="1"/>
  <c r="O140" i="1"/>
  <c r="O89" i="1"/>
  <c r="O186" i="1"/>
  <c r="O87" i="1"/>
  <c r="T15" i="1"/>
  <c r="P29" i="1"/>
  <c r="P90" i="1"/>
  <c r="P106" i="1"/>
  <c r="P70" i="1"/>
  <c r="S70" i="1" s="1"/>
  <c r="P172" i="1"/>
  <c r="P54" i="1"/>
  <c r="P103" i="1"/>
  <c r="P95" i="1"/>
  <c r="P173" i="1"/>
  <c r="P17" i="1"/>
  <c r="S17" i="1" s="1"/>
  <c r="P42" i="1"/>
  <c r="P38" i="1"/>
  <c r="S38" i="1" s="1"/>
  <c r="P165" i="1"/>
  <c r="L35" i="1"/>
  <c r="P35" i="1"/>
  <c r="L56" i="1"/>
  <c r="P56" i="1"/>
  <c r="L108" i="1"/>
  <c r="P108" i="1"/>
  <c r="L57" i="1"/>
  <c r="P57" i="1"/>
  <c r="L37" i="1"/>
  <c r="R37" i="1" s="1"/>
  <c r="P37" i="1"/>
  <c r="L69" i="1"/>
  <c r="P69" i="1"/>
  <c r="L78" i="1"/>
  <c r="P78" i="1"/>
  <c r="L110" i="1"/>
  <c r="P110" i="1"/>
  <c r="P161" i="1"/>
  <c r="P109" i="1"/>
  <c r="P26" i="1"/>
  <c r="S26" i="1" s="1"/>
  <c r="L28" i="1"/>
  <c r="P28" i="1"/>
  <c r="L195" i="1"/>
  <c r="P162" i="1"/>
  <c r="P48" i="1"/>
  <c r="S133" i="1"/>
  <c r="P101" i="1"/>
  <c r="S101" i="1" s="1"/>
  <c r="P118" i="1"/>
  <c r="P121" i="1"/>
  <c r="S121" i="1" s="1"/>
  <c r="P102" i="1"/>
  <c r="L30" i="1"/>
  <c r="P30" i="1"/>
  <c r="L41" i="1"/>
  <c r="P41" i="1"/>
  <c r="L114" i="1"/>
  <c r="R114" i="1" s="1"/>
  <c r="P114" i="1"/>
  <c r="L123" i="1"/>
  <c r="S185" i="1"/>
  <c r="P163" i="1"/>
  <c r="P36" i="1"/>
  <c r="P47" i="1"/>
  <c r="S47" i="1" s="1"/>
  <c r="P77" i="1"/>
  <c r="S77" i="1" s="1"/>
  <c r="P60" i="1"/>
  <c r="P88" i="1"/>
  <c r="P83" i="1"/>
  <c r="S83" i="1" s="1"/>
  <c r="P93" i="1"/>
  <c r="P65" i="1"/>
  <c r="L76" i="1"/>
  <c r="P76" i="1"/>
  <c r="L100" i="1"/>
  <c r="R100" i="1" s="1"/>
  <c r="P100" i="1"/>
  <c r="L117" i="1"/>
  <c r="P117" i="1"/>
  <c r="L45" i="1"/>
  <c r="P45" i="1"/>
  <c r="L68" i="1"/>
  <c r="P68" i="1"/>
  <c r="O141" i="1"/>
  <c r="L31" i="1"/>
  <c r="R31" i="1" s="1"/>
  <c r="P31" i="1"/>
  <c r="L82" i="1"/>
  <c r="P82" i="1"/>
  <c r="L98" i="1"/>
  <c r="P98" i="1"/>
  <c r="L115" i="1"/>
  <c r="P115" i="1"/>
  <c r="P170" i="1"/>
  <c r="P91" i="1"/>
  <c r="P19" i="1"/>
  <c r="P99" i="1"/>
  <c r="P89" i="1"/>
  <c r="P84" i="1"/>
  <c r="P169" i="1"/>
  <c r="P104" i="1"/>
  <c r="P39" i="1"/>
  <c r="P94" i="1"/>
  <c r="L25" i="1"/>
  <c r="P22" i="1"/>
  <c r="P92" i="1"/>
  <c r="S92" i="1" s="1"/>
  <c r="L58" i="1"/>
  <c r="P58" i="1"/>
  <c r="L86" i="1"/>
  <c r="R86" i="1" s="1"/>
  <c r="P86" i="1"/>
  <c r="L119" i="1"/>
  <c r="P119" i="1"/>
  <c r="P67" i="1"/>
  <c r="P44" i="1"/>
  <c r="S44" i="1" s="1"/>
  <c r="P87" i="1"/>
  <c r="P85" i="1"/>
  <c r="L122" i="1"/>
  <c r="P122" i="1"/>
  <c r="P71" i="1"/>
  <c r="L33" i="1"/>
  <c r="P33" i="1"/>
  <c r="L128" i="1"/>
  <c r="R128" i="1" s="1"/>
  <c r="L142" i="1"/>
  <c r="P142" i="1" s="1"/>
  <c r="S142" i="1" s="1"/>
  <c r="P97" i="1"/>
  <c r="P111" i="1"/>
  <c r="P53" i="1"/>
  <c r="P59" i="1"/>
  <c r="S59" i="1" s="1"/>
  <c r="L14" i="1"/>
  <c r="O153" i="1" l="1"/>
  <c r="P154" i="1"/>
  <c r="S154" i="1" s="1"/>
  <c r="Q44" i="1"/>
  <c r="Q171" i="1"/>
  <c r="Q26" i="1"/>
  <c r="S184" i="1"/>
  <c r="S85" i="1"/>
  <c r="S169" i="1"/>
  <c r="S102" i="1"/>
  <c r="P143" i="1"/>
  <c r="S143" i="1" s="1"/>
  <c r="R77" i="1"/>
  <c r="S97" i="1"/>
  <c r="S122" i="1"/>
  <c r="S90" i="1"/>
  <c r="S103" i="1"/>
  <c r="S162" i="1"/>
  <c r="L188" i="1"/>
  <c r="S71" i="1"/>
  <c r="S67" i="1"/>
  <c r="M141" i="1"/>
  <c r="R171" i="1"/>
  <c r="R135" i="1"/>
  <c r="R131" i="1"/>
  <c r="R44" i="1"/>
  <c r="R112" i="1"/>
  <c r="R148" i="1"/>
  <c r="M130" i="1"/>
  <c r="M129" i="1" s="1"/>
  <c r="Q169" i="1"/>
  <c r="Q59" i="1"/>
  <c r="S139" i="1"/>
  <c r="R71" i="1"/>
  <c r="R169" i="1"/>
  <c r="Q190" i="1"/>
  <c r="R101" i="1"/>
  <c r="Q162" i="1"/>
  <c r="S190" i="1"/>
  <c r="S173" i="1"/>
  <c r="S167" i="1"/>
  <c r="Q83" i="1"/>
  <c r="R158" i="1"/>
  <c r="R42" i="1"/>
  <c r="Q42" i="1"/>
  <c r="Q97" i="1"/>
  <c r="R121" i="1"/>
  <c r="S96" i="1"/>
  <c r="Q139" i="1"/>
  <c r="Q64" i="1"/>
  <c r="Q143" i="1"/>
  <c r="Q104" i="1"/>
  <c r="Q17" i="1"/>
  <c r="Q111" i="1"/>
  <c r="R47" i="1"/>
  <c r="R92" i="1"/>
  <c r="R85" i="1"/>
  <c r="R36" i="1"/>
  <c r="R150" i="1"/>
  <c r="S157" i="1"/>
  <c r="S19" i="1"/>
  <c r="S176" i="1"/>
  <c r="S29" i="1"/>
  <c r="R197" i="1"/>
  <c r="S88" i="1"/>
  <c r="S54" i="1"/>
  <c r="R39" i="1"/>
  <c r="R140" i="1"/>
  <c r="S91" i="1"/>
  <c r="S39" i="1"/>
  <c r="S82" i="1"/>
  <c r="S45" i="1"/>
  <c r="S76" i="1"/>
  <c r="S28" i="1"/>
  <c r="S78" i="1"/>
  <c r="S108" i="1"/>
  <c r="R176" i="1"/>
  <c r="Q71" i="1"/>
  <c r="Q184" i="1"/>
  <c r="Q121" i="1"/>
  <c r="R103" i="1"/>
  <c r="Q157" i="1"/>
  <c r="Q91" i="1"/>
  <c r="Q43" i="1"/>
  <c r="R118" i="1"/>
  <c r="Q140" i="1"/>
  <c r="Q54" i="1"/>
  <c r="Q18" i="1"/>
  <c r="Q29" i="1"/>
  <c r="R88" i="1"/>
  <c r="Q39" i="1"/>
  <c r="Q36" i="1"/>
  <c r="S107" i="1"/>
  <c r="S58" i="1"/>
  <c r="Q19" i="1"/>
  <c r="Q176" i="1"/>
  <c r="Q88" i="1"/>
  <c r="R190" i="1"/>
  <c r="S99" i="1"/>
  <c r="S163" i="1"/>
  <c r="S161" i="1"/>
  <c r="S42" i="1"/>
  <c r="S95" i="1"/>
  <c r="R96" i="1"/>
  <c r="R180" i="1"/>
  <c r="R133" i="1"/>
  <c r="R170" i="1"/>
  <c r="Q35" i="1"/>
  <c r="R21" i="1"/>
  <c r="R53" i="1"/>
  <c r="Q105" i="1"/>
  <c r="Q164" i="1"/>
  <c r="Q138" i="1"/>
  <c r="Q60" i="1"/>
  <c r="Q180" i="1"/>
  <c r="R182" i="1"/>
  <c r="R172" i="1"/>
  <c r="R111" i="1"/>
  <c r="Q95" i="1"/>
  <c r="R48" i="1"/>
  <c r="Q133" i="1"/>
  <c r="Q181" i="1"/>
  <c r="R161" i="1"/>
  <c r="Q132" i="1"/>
  <c r="S181" i="1"/>
  <c r="R186" i="1"/>
  <c r="R163" i="1"/>
  <c r="S81" i="1"/>
  <c r="Q179" i="1"/>
  <c r="Q66" i="1"/>
  <c r="R90" i="1"/>
  <c r="S53" i="1"/>
  <c r="S84" i="1"/>
  <c r="S179" i="1"/>
  <c r="S158" i="1"/>
  <c r="S65" i="1"/>
  <c r="S106" i="1"/>
  <c r="R123" i="1"/>
  <c r="R167" i="1"/>
  <c r="Q107" i="1"/>
  <c r="Q20" i="1"/>
  <c r="R59" i="1"/>
  <c r="R93" i="1"/>
  <c r="Q166" i="1"/>
  <c r="Q155" i="1"/>
  <c r="R106" i="1"/>
  <c r="R98" i="1"/>
  <c r="Q90" i="1"/>
  <c r="Q82" i="1"/>
  <c r="Q31" i="1"/>
  <c r="Q81" i="1"/>
  <c r="Q53" i="1"/>
  <c r="R76" i="1"/>
  <c r="Q56" i="1"/>
  <c r="Q173" i="1"/>
  <c r="R152" i="1"/>
  <c r="R122" i="1"/>
  <c r="Q96" i="1"/>
  <c r="R52" i="1"/>
  <c r="Q69" i="1"/>
  <c r="Q172" i="1"/>
  <c r="Q163" i="1"/>
  <c r="Q103" i="1"/>
  <c r="Q48" i="1"/>
  <c r="Q38" i="1"/>
  <c r="Q170" i="1"/>
  <c r="Q101" i="1"/>
  <c r="R142" i="1"/>
  <c r="O188" i="1"/>
  <c r="T14" i="1"/>
  <c r="S87" i="1"/>
  <c r="R87" i="1"/>
  <c r="Q116" i="1"/>
  <c r="R115" i="1"/>
  <c r="Q98" i="1"/>
  <c r="R30" i="1"/>
  <c r="Q41" i="1"/>
  <c r="R78" i="1"/>
  <c r="R58" i="1"/>
  <c r="Q45" i="1"/>
  <c r="R143" i="1"/>
  <c r="S31" i="1"/>
  <c r="S114" i="1"/>
  <c r="S69" i="1"/>
  <c r="S56" i="1"/>
  <c r="R68" i="1"/>
  <c r="Q177" i="1"/>
  <c r="Q115" i="1"/>
  <c r="Q131" i="1"/>
  <c r="Q154" i="1"/>
  <c r="Q114" i="1"/>
  <c r="Q112" i="1"/>
  <c r="Q28" i="1"/>
  <c r="Q78" i="1"/>
  <c r="Q117" i="1"/>
  <c r="Q58" i="1"/>
  <c r="S109" i="1"/>
  <c r="R45" i="1"/>
  <c r="R117" i="1"/>
  <c r="R116" i="1"/>
  <c r="R108" i="1"/>
  <c r="R109" i="1"/>
  <c r="R110" i="1"/>
  <c r="Q108" i="1"/>
  <c r="S14" i="1"/>
  <c r="S119" i="1"/>
  <c r="S89" i="1"/>
  <c r="S115" i="1"/>
  <c r="S117" i="1"/>
  <c r="S41" i="1"/>
  <c r="S37" i="1"/>
  <c r="S35" i="1"/>
  <c r="R89" i="1"/>
  <c r="Q100" i="1"/>
  <c r="S177" i="1"/>
  <c r="R138" i="1"/>
  <c r="R28" i="1"/>
  <c r="Q182" i="1"/>
  <c r="Q119" i="1"/>
  <c r="Q47" i="1"/>
  <c r="Q92" i="1"/>
  <c r="Q110" i="1"/>
  <c r="R107" i="1"/>
  <c r="R145" i="1"/>
  <c r="Q118" i="1"/>
  <c r="Q93" i="1"/>
  <c r="S105" i="1"/>
  <c r="S186" i="1"/>
  <c r="S187" i="1"/>
  <c r="R125" i="1"/>
  <c r="Q86" i="1"/>
  <c r="R165" i="1"/>
  <c r="R102" i="1"/>
  <c r="R181" i="1"/>
  <c r="Q68" i="1"/>
  <c r="Q76" i="1"/>
  <c r="S164" i="1"/>
  <c r="R154" i="1"/>
  <c r="R189" i="1"/>
  <c r="S86" i="1"/>
  <c r="S98" i="1"/>
  <c r="S68" i="1"/>
  <c r="S100" i="1"/>
  <c r="S30" i="1"/>
  <c r="S110" i="1"/>
  <c r="S57" i="1"/>
  <c r="R56" i="1"/>
  <c r="Q167" i="1"/>
  <c r="Q55" i="1"/>
  <c r="Q187" i="1"/>
  <c r="Q106" i="1"/>
  <c r="R65" i="1"/>
  <c r="R67" i="1"/>
  <c r="S189" i="1"/>
  <c r="Q89" i="1"/>
  <c r="R119" i="1"/>
  <c r="Q185" i="1"/>
  <c r="R84" i="1"/>
  <c r="Q70" i="1"/>
  <c r="Q102" i="1"/>
  <c r="M46" i="1"/>
  <c r="Q94" i="1"/>
  <c r="Q109" i="1"/>
  <c r="S64" i="1"/>
  <c r="S116" i="1"/>
  <c r="S94" i="1"/>
  <c r="S165" i="1"/>
  <c r="Q99" i="1"/>
  <c r="R55" i="1"/>
  <c r="R33" i="1"/>
  <c r="R57" i="1"/>
  <c r="R82" i="1"/>
  <c r="Q65" i="1"/>
  <c r="Q30" i="1"/>
  <c r="Q37" i="1"/>
  <c r="Q67" i="1"/>
  <c r="R69" i="1"/>
  <c r="Q186" i="1"/>
  <c r="Q165" i="1"/>
  <c r="Q123" i="1"/>
  <c r="R41" i="1"/>
  <c r="Q122" i="1"/>
  <c r="Q52" i="1"/>
  <c r="Q84" i="1"/>
  <c r="R35" i="1"/>
  <c r="Q87" i="1"/>
  <c r="Q158" i="1"/>
  <c r="S43" i="1"/>
  <c r="Q161" i="1"/>
  <c r="R132" i="1"/>
  <c r="Q85" i="1"/>
  <c r="Q57" i="1"/>
  <c r="Q25" i="1"/>
  <c r="R14" i="1"/>
  <c r="Q14" i="1"/>
  <c r="R22" i="1"/>
  <c r="N32" i="1"/>
  <c r="Q33" i="1"/>
  <c r="N134" i="1"/>
  <c r="Q134" i="1" s="1"/>
  <c r="Q135" i="1"/>
  <c r="N127" i="1"/>
  <c r="Q128" i="1"/>
  <c r="N124" i="1"/>
  <c r="Q124" i="1" s="1"/>
  <c r="Q125" i="1"/>
  <c r="N147" i="1"/>
  <c r="Q147" i="1" s="1"/>
  <c r="Q148" i="1"/>
  <c r="N188" i="1"/>
  <c r="Q188" i="1" s="1"/>
  <c r="Q189" i="1"/>
  <c r="N141" i="1"/>
  <c r="Q142" i="1"/>
  <c r="N151" i="1"/>
  <c r="Q151" i="1" s="1"/>
  <c r="Q152" i="1"/>
  <c r="N21" i="1"/>
  <c r="Q21" i="1" s="1"/>
  <c r="Q22" i="1"/>
  <c r="N196" i="1"/>
  <c r="Q196" i="1" s="1"/>
  <c r="N149" i="1"/>
  <c r="Q149" i="1" s="1"/>
  <c r="Q150" i="1"/>
  <c r="N144" i="1"/>
  <c r="Q144" i="1" s="1"/>
  <c r="Q145" i="1"/>
  <c r="P134" i="1"/>
  <c r="S134" i="1" s="1"/>
  <c r="S135" i="1"/>
  <c r="P149" i="1"/>
  <c r="S149" i="1" s="1"/>
  <c r="S150" i="1"/>
  <c r="T111" i="1"/>
  <c r="S111" i="1"/>
  <c r="T104" i="1"/>
  <c r="S104" i="1"/>
  <c r="T170" i="1"/>
  <c r="S170" i="1"/>
  <c r="P144" i="1"/>
  <c r="S144" i="1" s="1"/>
  <c r="S145" i="1"/>
  <c r="T93" i="1"/>
  <c r="S93" i="1"/>
  <c r="T36" i="1"/>
  <c r="S36" i="1"/>
  <c r="T64" i="1"/>
  <c r="M188" i="1"/>
  <c r="T48" i="1"/>
  <c r="S48" i="1"/>
  <c r="T60" i="1"/>
  <c r="S60" i="1"/>
  <c r="T182" i="1"/>
  <c r="S182" i="1"/>
  <c r="P21" i="1"/>
  <c r="S21" i="1" s="1"/>
  <c r="S22" i="1"/>
  <c r="T118" i="1"/>
  <c r="S118" i="1"/>
  <c r="T164" i="1"/>
  <c r="P196" i="1"/>
  <c r="S196" i="1" s="1"/>
  <c r="S197" i="1"/>
  <c r="P127" i="1"/>
  <c r="S128" i="1"/>
  <c r="P32" i="1"/>
  <c r="S33" i="1"/>
  <c r="T180" i="1"/>
  <c r="S180" i="1"/>
  <c r="T172" i="1"/>
  <c r="S172" i="1"/>
  <c r="P147" i="1"/>
  <c r="S147" i="1" s="1"/>
  <c r="S148" i="1"/>
  <c r="T105" i="1"/>
  <c r="M183" i="1"/>
  <c r="N183" i="1"/>
  <c r="L46" i="1"/>
  <c r="T59" i="1"/>
  <c r="O144" i="1"/>
  <c r="L24" i="1"/>
  <c r="O156" i="1"/>
  <c r="O124" i="1"/>
  <c r="O196" i="1"/>
  <c r="T173" i="1"/>
  <c r="O183" i="1"/>
  <c r="O149" i="1"/>
  <c r="T81" i="1"/>
  <c r="N27" i="1"/>
  <c r="O134" i="1"/>
  <c r="O151" i="1"/>
  <c r="T44" i="1"/>
  <c r="O160" i="1"/>
  <c r="O32" i="1"/>
  <c r="N34" i="1"/>
  <c r="O40" i="1"/>
  <c r="T101" i="1"/>
  <c r="T26" i="1"/>
  <c r="O175" i="1"/>
  <c r="O147" i="1"/>
  <c r="O13" i="1"/>
  <c r="M120" i="1"/>
  <c r="N175" i="1"/>
  <c r="N130" i="1"/>
  <c r="T94" i="1"/>
  <c r="T87" i="1"/>
  <c r="T102" i="1"/>
  <c r="T109" i="1"/>
  <c r="N156" i="1"/>
  <c r="T71" i="1"/>
  <c r="N16" i="1"/>
  <c r="L130" i="1"/>
  <c r="L129" i="1" s="1"/>
  <c r="L168" i="1"/>
  <c r="T189" i="1"/>
  <c r="L160" i="1"/>
  <c r="T161" i="1"/>
  <c r="T187" i="1"/>
  <c r="T148" i="1"/>
  <c r="T103" i="1"/>
  <c r="T181" i="1"/>
  <c r="L178" i="1"/>
  <c r="T96" i="1"/>
  <c r="T85" i="1"/>
  <c r="T121" i="1"/>
  <c r="T167" i="1"/>
  <c r="N40" i="1"/>
  <c r="P156" i="1"/>
  <c r="T84" i="1"/>
  <c r="M113" i="1"/>
  <c r="T20" i="1"/>
  <c r="T163" i="1"/>
  <c r="T67" i="1"/>
  <c r="T38" i="1"/>
  <c r="P152" i="1"/>
  <c r="O51" i="1"/>
  <c r="L153" i="1"/>
  <c r="L146" i="1" s="1"/>
  <c r="O178" i="1"/>
  <c r="T92" i="1"/>
  <c r="P55" i="1"/>
  <c r="O113" i="1"/>
  <c r="T65" i="1"/>
  <c r="P188" i="1"/>
  <c r="S188" i="1" s="1"/>
  <c r="P123" i="1"/>
  <c r="N120" i="1"/>
  <c r="T162" i="1"/>
  <c r="T42" i="1"/>
  <c r="T106" i="1"/>
  <c r="O130" i="1"/>
  <c r="L183" i="1"/>
  <c r="M27" i="1"/>
  <c r="T89" i="1"/>
  <c r="T83" i="1"/>
  <c r="L141" i="1"/>
  <c r="R141" i="1" s="1"/>
  <c r="L63" i="1"/>
  <c r="T185" i="1"/>
  <c r="T97" i="1"/>
  <c r="T99" i="1"/>
  <c r="T157" i="1"/>
  <c r="T43" i="1"/>
  <c r="N160" i="1"/>
  <c r="N51" i="1"/>
  <c r="T18" i="1"/>
  <c r="T177" i="1"/>
  <c r="L175" i="1"/>
  <c r="M137" i="1"/>
  <c r="T29" i="1"/>
  <c r="O168" i="1"/>
  <c r="M160" i="1"/>
  <c r="O137" i="1"/>
  <c r="O27" i="1"/>
  <c r="N168" i="1"/>
  <c r="N178" i="1"/>
  <c r="N46" i="1"/>
  <c r="P171" i="1"/>
  <c r="M168" i="1"/>
  <c r="N113" i="1"/>
  <c r="T77" i="1"/>
  <c r="M34" i="1"/>
  <c r="N137" i="1"/>
  <c r="N63" i="1"/>
  <c r="O46" i="1"/>
  <c r="T70" i="1"/>
  <c r="M72" i="1"/>
  <c r="T90" i="1"/>
  <c r="M40" i="1"/>
  <c r="L137" i="1"/>
  <c r="M51" i="1"/>
  <c r="M50" i="1" s="1"/>
  <c r="M49" i="1" s="1"/>
  <c r="D16" i="3" s="1"/>
  <c r="M16" i="1"/>
  <c r="M13" i="1" s="1"/>
  <c r="T88" i="1"/>
  <c r="O120" i="1"/>
  <c r="L16" i="1"/>
  <c r="L13" i="1" s="1"/>
  <c r="P138" i="1"/>
  <c r="P166" i="1"/>
  <c r="O34" i="1"/>
  <c r="N24" i="1"/>
  <c r="M153" i="1"/>
  <c r="M146" i="1" s="1"/>
  <c r="P52" i="1"/>
  <c r="L156" i="1"/>
  <c r="L40" i="1"/>
  <c r="T39" i="1"/>
  <c r="T179" i="1"/>
  <c r="T54" i="1"/>
  <c r="T91" i="1"/>
  <c r="T197" i="1"/>
  <c r="T143" i="1"/>
  <c r="T165" i="1"/>
  <c r="P125" i="1"/>
  <c r="T139" i="1"/>
  <c r="M175" i="1"/>
  <c r="N153" i="1"/>
  <c r="P132" i="1"/>
  <c r="P175" i="1"/>
  <c r="T17" i="1"/>
  <c r="T95" i="1"/>
  <c r="M156" i="1"/>
  <c r="P131" i="1"/>
  <c r="P112" i="1"/>
  <c r="L72" i="1"/>
  <c r="T176" i="1"/>
  <c r="T115" i="1"/>
  <c r="P46" i="1"/>
  <c r="L51" i="1"/>
  <c r="L50" i="1" s="1"/>
  <c r="L27" i="1"/>
  <c r="T68" i="1"/>
  <c r="T35" i="1"/>
  <c r="T58" i="1"/>
  <c r="P16" i="1"/>
  <c r="T41" i="1"/>
  <c r="T117" i="1"/>
  <c r="T45" i="1"/>
  <c r="T30" i="1"/>
  <c r="T37" i="1"/>
  <c r="L34" i="1"/>
  <c r="T119" i="1"/>
  <c r="T108" i="1"/>
  <c r="T122" i="1"/>
  <c r="L120" i="1"/>
  <c r="T142" i="1"/>
  <c r="P183" i="1"/>
  <c r="S183" i="1" s="1"/>
  <c r="T184" i="1"/>
  <c r="T86" i="1"/>
  <c r="T19" i="1"/>
  <c r="T158" i="1"/>
  <c r="T22" i="1"/>
  <c r="P113" i="1"/>
  <c r="T53" i="1"/>
  <c r="P27" i="1"/>
  <c r="S27" i="1" s="1"/>
  <c r="T57" i="1"/>
  <c r="T56" i="1"/>
  <c r="T100" i="1"/>
  <c r="T110" i="1"/>
  <c r="L32" i="1"/>
  <c r="T33" i="1"/>
  <c r="T98" i="1"/>
  <c r="T76" i="1"/>
  <c r="P141" i="1"/>
  <c r="T31" i="1"/>
  <c r="T190" i="1"/>
  <c r="T78" i="1"/>
  <c r="L113" i="1"/>
  <c r="L192" i="1"/>
  <c r="U191" i="1" s="1"/>
  <c r="T82" i="1"/>
  <c r="T114" i="1"/>
  <c r="P40" i="1"/>
  <c r="T150" i="1"/>
  <c r="T28" i="1"/>
  <c r="T69" i="1"/>
  <c r="P34" i="1"/>
  <c r="L127" i="1"/>
  <c r="T128" i="1"/>
  <c r="T135" i="1"/>
  <c r="T145" i="1"/>
  <c r="P178" i="1"/>
  <c r="T133" i="1"/>
  <c r="T47" i="1"/>
  <c r="T169" i="1"/>
  <c r="T154" i="1" l="1"/>
  <c r="M136" i="1"/>
  <c r="S40" i="1"/>
  <c r="R127" i="1"/>
  <c r="Q160" i="1"/>
  <c r="Q46" i="1"/>
  <c r="R46" i="1"/>
  <c r="R147" i="1"/>
  <c r="R151" i="1"/>
  <c r="R124" i="1"/>
  <c r="R188" i="1"/>
  <c r="R134" i="1"/>
  <c r="R149" i="1"/>
  <c r="R196" i="1"/>
  <c r="R144" i="1"/>
  <c r="S34" i="1"/>
  <c r="T149" i="1"/>
  <c r="S156" i="1"/>
  <c r="S178" i="1"/>
  <c r="Q63" i="1"/>
  <c r="R178" i="1"/>
  <c r="R130" i="1"/>
  <c r="R34" i="1"/>
  <c r="Q27" i="1"/>
  <c r="T196" i="1"/>
  <c r="T134" i="1"/>
  <c r="T21" i="1"/>
  <c r="Q24" i="1"/>
  <c r="R168" i="1"/>
  <c r="R40" i="1"/>
  <c r="S32" i="1"/>
  <c r="Q141" i="1"/>
  <c r="Q127" i="1"/>
  <c r="S113" i="1"/>
  <c r="R113" i="1"/>
  <c r="Q40" i="1"/>
  <c r="Q175" i="1"/>
  <c r="Q34" i="1"/>
  <c r="R32" i="1"/>
  <c r="S127" i="1"/>
  <c r="Q156" i="1"/>
  <c r="R13" i="1"/>
  <c r="R160" i="1"/>
  <c r="Q183" i="1"/>
  <c r="R16" i="1"/>
  <c r="Q168" i="1"/>
  <c r="Q120" i="1"/>
  <c r="Q32" i="1"/>
  <c r="R153" i="1"/>
  <c r="R27" i="1"/>
  <c r="R175" i="1"/>
  <c r="S175" i="1"/>
  <c r="R120" i="1"/>
  <c r="Q113" i="1"/>
  <c r="R137" i="1"/>
  <c r="T144" i="1"/>
  <c r="R51" i="1"/>
  <c r="R156" i="1"/>
  <c r="N50" i="1"/>
  <c r="Q51" i="1"/>
  <c r="N129" i="1"/>
  <c r="Q129" i="1" s="1"/>
  <c r="Q130" i="1"/>
  <c r="N146" i="1"/>
  <c r="Q146" i="1" s="1"/>
  <c r="Q153" i="1"/>
  <c r="N174" i="1"/>
  <c r="Q178" i="1"/>
  <c r="N136" i="1"/>
  <c r="Q137" i="1"/>
  <c r="F14" i="3"/>
  <c r="N13" i="1"/>
  <c r="Q13" i="1" s="1"/>
  <c r="Q16" i="1"/>
  <c r="T132" i="1"/>
  <c r="S132" i="1"/>
  <c r="T112" i="1"/>
  <c r="S112" i="1"/>
  <c r="T131" i="1"/>
  <c r="S131" i="1"/>
  <c r="T166" i="1"/>
  <c r="S166" i="1"/>
  <c r="O174" i="1"/>
  <c r="R183" i="1"/>
  <c r="T141" i="1"/>
  <c r="S141" i="1"/>
  <c r="P13" i="1"/>
  <c r="S13" i="1" s="1"/>
  <c r="S16" i="1"/>
  <c r="T155" i="1"/>
  <c r="S155" i="1"/>
  <c r="P151" i="1"/>
  <c r="S152" i="1"/>
  <c r="T32" i="1"/>
  <c r="P124" i="1"/>
  <c r="S125" i="1"/>
  <c r="T138" i="1"/>
  <c r="S138" i="1"/>
  <c r="T123" i="1"/>
  <c r="S123" i="1"/>
  <c r="T188" i="1"/>
  <c r="T171" i="1"/>
  <c r="S171" i="1"/>
  <c r="T55" i="1"/>
  <c r="S55" i="1"/>
  <c r="T46" i="1"/>
  <c r="S46" i="1"/>
  <c r="T127" i="1"/>
  <c r="T52" i="1"/>
  <c r="S52" i="1"/>
  <c r="T140" i="1"/>
  <c r="S140" i="1"/>
  <c r="T147" i="1"/>
  <c r="O136" i="1"/>
  <c r="O50" i="1"/>
  <c r="O146" i="1"/>
  <c r="O159" i="1"/>
  <c r="O129" i="1"/>
  <c r="D14" i="3"/>
  <c r="C14" i="3"/>
  <c r="T156" i="1"/>
  <c r="N23" i="1"/>
  <c r="P120" i="1"/>
  <c r="S120" i="1" s="1"/>
  <c r="L159" i="1"/>
  <c r="C19" i="3" s="1"/>
  <c r="L136" i="1"/>
  <c r="L126" i="1" s="1"/>
  <c r="C18" i="3" s="1"/>
  <c r="M174" i="1"/>
  <c r="D20" i="3" s="1"/>
  <c r="T178" i="1"/>
  <c r="T40" i="1"/>
  <c r="P168" i="1"/>
  <c r="T125" i="1"/>
  <c r="N159" i="1"/>
  <c r="M126" i="1"/>
  <c r="D18" i="3" s="1"/>
  <c r="T152" i="1"/>
  <c r="M159" i="1"/>
  <c r="D19" i="3" s="1"/>
  <c r="L174" i="1"/>
  <c r="C20" i="3" s="1"/>
  <c r="P160" i="1"/>
  <c r="T175" i="1"/>
  <c r="P153" i="1"/>
  <c r="T183" i="1"/>
  <c r="P51" i="1"/>
  <c r="P130" i="1"/>
  <c r="L62" i="1"/>
  <c r="L61" i="1" s="1"/>
  <c r="C17" i="3" s="1"/>
  <c r="P137" i="1"/>
  <c r="T27" i="1"/>
  <c r="T16" i="1"/>
  <c r="T34" i="1"/>
  <c r="L191" i="1"/>
  <c r="C21" i="3" s="1"/>
  <c r="T113" i="1"/>
  <c r="P174" i="1"/>
  <c r="L23" i="1"/>
  <c r="C15" i="3" s="1"/>
  <c r="L49" i="1"/>
  <c r="C16" i="3" s="1"/>
  <c r="R50" i="1" l="1"/>
  <c r="R129" i="1"/>
  <c r="R146" i="1"/>
  <c r="R136" i="1"/>
  <c r="Q136" i="1"/>
  <c r="R174" i="1"/>
  <c r="I14" i="3"/>
  <c r="S174" i="1"/>
  <c r="R159" i="1"/>
  <c r="N126" i="1"/>
  <c r="Q126" i="1" s="1"/>
  <c r="E14" i="3"/>
  <c r="H14" i="3" s="1"/>
  <c r="E15" i="3"/>
  <c r="H15" i="3" s="1"/>
  <c r="Q23" i="1"/>
  <c r="E20" i="3"/>
  <c r="H20" i="3" s="1"/>
  <c r="Q174" i="1"/>
  <c r="F20" i="3"/>
  <c r="I20" i="3" s="1"/>
  <c r="E19" i="3"/>
  <c r="H19" i="3" s="1"/>
  <c r="Q159" i="1"/>
  <c r="N49" i="1"/>
  <c r="Q50" i="1"/>
  <c r="G14" i="3"/>
  <c r="J14" i="3" s="1"/>
  <c r="P146" i="1"/>
  <c r="S153" i="1"/>
  <c r="P129" i="1"/>
  <c r="S130" i="1"/>
  <c r="T124" i="1"/>
  <c r="S124" i="1"/>
  <c r="T120" i="1"/>
  <c r="P50" i="1"/>
  <c r="T50" i="1" s="1"/>
  <c r="S51" i="1"/>
  <c r="P159" i="1"/>
  <c r="S159" i="1" s="1"/>
  <c r="S160" i="1"/>
  <c r="T168" i="1"/>
  <c r="S168" i="1"/>
  <c r="T137" i="1"/>
  <c r="S137" i="1"/>
  <c r="T13" i="1"/>
  <c r="T151" i="1"/>
  <c r="S151" i="1"/>
  <c r="O126" i="1"/>
  <c r="L207" i="1"/>
  <c r="F19" i="3"/>
  <c r="I19" i="3" s="1"/>
  <c r="O49" i="1"/>
  <c r="C12" i="15"/>
  <c r="C14" i="15" s="1"/>
  <c r="C15" i="15" s="1"/>
  <c r="T153" i="1"/>
  <c r="T160" i="1"/>
  <c r="T130" i="1"/>
  <c r="P136" i="1"/>
  <c r="T51" i="1"/>
  <c r="T174" i="1"/>
  <c r="G20" i="3"/>
  <c r="K14" i="3" l="1"/>
  <c r="J20" i="3"/>
  <c r="K20" i="3"/>
  <c r="R49" i="1"/>
  <c r="R126" i="1"/>
  <c r="L12" i="1"/>
  <c r="U200" i="1"/>
  <c r="E18" i="3"/>
  <c r="G19" i="3"/>
  <c r="J19" i="3" s="1"/>
  <c r="E16" i="3"/>
  <c r="H16" i="3" s="1"/>
  <c r="Q49" i="1"/>
  <c r="T159" i="1"/>
  <c r="T129" i="1"/>
  <c r="S129" i="1"/>
  <c r="T136" i="1"/>
  <c r="S136" i="1"/>
  <c r="T146" i="1"/>
  <c r="S146" i="1"/>
  <c r="P49" i="1"/>
  <c r="S50" i="1"/>
  <c r="F16" i="3"/>
  <c r="I16" i="3" s="1"/>
  <c r="F18" i="3"/>
  <c r="P126" i="1"/>
  <c r="S126" i="1" s="1"/>
  <c r="K19" i="3" l="1"/>
  <c r="I18" i="3"/>
  <c r="H18" i="3"/>
  <c r="G16" i="3"/>
  <c r="S49" i="1"/>
  <c r="T49" i="1"/>
  <c r="G18" i="3"/>
  <c r="T126" i="1"/>
  <c r="J18" i="3" l="1"/>
  <c r="K18" i="3"/>
  <c r="J16" i="3"/>
  <c r="K16" i="3"/>
  <c r="M25" i="1"/>
  <c r="M24" i="1" s="1"/>
  <c r="M23" i="1" s="1"/>
  <c r="H25" i="1"/>
  <c r="I25" i="1" s="1"/>
  <c r="P25" i="1" s="1"/>
  <c r="O25" i="1" l="1"/>
  <c r="P24" i="1"/>
  <c r="T25" i="1"/>
  <c r="S25" i="1"/>
  <c r="D15" i="3"/>
  <c r="O24" i="1" l="1"/>
  <c r="R24" i="1" s="1"/>
  <c r="R25" i="1"/>
  <c r="S24" i="1"/>
  <c r="P23" i="1"/>
  <c r="T24" i="1"/>
  <c r="O23" i="1" l="1"/>
  <c r="G15" i="3"/>
  <c r="S23" i="1"/>
  <c r="T23" i="1"/>
  <c r="R23" i="1" l="1"/>
  <c r="F15" i="3"/>
  <c r="J15" i="3"/>
  <c r="I15" i="3" l="1"/>
  <c r="K15" i="3"/>
  <c r="H74" i="1"/>
  <c r="N74" i="1"/>
  <c r="Q74" i="1" s="1"/>
  <c r="H75" i="1"/>
  <c r="O75" i="1" s="1"/>
  <c r="P75" i="1" s="1"/>
  <c r="N75" i="1"/>
  <c r="Q75" i="1" s="1"/>
  <c r="H73" i="1"/>
  <c r="N73" i="1"/>
  <c r="H79" i="1"/>
  <c r="N79" i="1"/>
  <c r="Q79" i="1" s="1"/>
  <c r="H80" i="1"/>
  <c r="N80" i="1"/>
  <c r="Q80" i="1" s="1"/>
  <c r="P73" i="1" l="1"/>
  <c r="O73" i="1"/>
  <c r="P79" i="1"/>
  <c r="O79" i="1"/>
  <c r="Q73" i="1"/>
  <c r="N72" i="1"/>
  <c r="P80" i="1"/>
  <c r="O80" i="1"/>
  <c r="P74" i="1"/>
  <c r="O74" i="1"/>
  <c r="R75" i="1" l="1"/>
  <c r="P72" i="1"/>
  <c r="R79" i="1"/>
  <c r="N62" i="1"/>
  <c r="Q72" i="1"/>
  <c r="R74" i="1"/>
  <c r="S74" i="1"/>
  <c r="T74" i="1"/>
  <c r="T79" i="1"/>
  <c r="S79" i="1"/>
  <c r="R80" i="1"/>
  <c r="O72" i="1"/>
  <c r="R73" i="1"/>
  <c r="S80" i="1"/>
  <c r="T80" i="1"/>
  <c r="S73" i="1"/>
  <c r="T73" i="1"/>
  <c r="S72" i="1" l="1"/>
  <c r="T72" i="1"/>
  <c r="N61" i="1"/>
  <c r="Q62" i="1"/>
  <c r="T75" i="1"/>
  <c r="S75" i="1"/>
  <c r="R72" i="1"/>
  <c r="Q61" i="1" l="1"/>
  <c r="E17" i="3"/>
  <c r="H17" i="3" l="1"/>
  <c r="M66" i="1"/>
  <c r="M63" i="1" s="1"/>
  <c r="M62" i="1" s="1"/>
  <c r="M61" i="1" s="1"/>
  <c r="H66" i="1"/>
  <c r="O66" i="1" s="1"/>
  <c r="O63" i="1" l="1"/>
  <c r="R66" i="1"/>
  <c r="D17" i="3"/>
  <c r="P66" i="1"/>
  <c r="S66" i="1" l="1"/>
  <c r="P63" i="1"/>
  <c r="T66" i="1"/>
  <c r="O62" i="1"/>
  <c r="R63" i="1"/>
  <c r="R62" i="1" l="1"/>
  <c r="O61" i="1"/>
  <c r="P62" i="1"/>
  <c r="T63" i="1"/>
  <c r="S63" i="1"/>
  <c r="T62" i="1" l="1"/>
  <c r="P61" i="1"/>
  <c r="S62" i="1"/>
  <c r="R61" i="1"/>
  <c r="F17" i="3"/>
  <c r="I17" i="3" l="1"/>
  <c r="S61" i="1"/>
  <c r="G17" i="3"/>
  <c r="K17" i="3" s="1"/>
  <c r="T61" i="1"/>
  <c r="J17" i="3" l="1"/>
  <c r="F194" i="1" l="1"/>
  <c r="M194" i="1" l="1"/>
  <c r="M195" i="1"/>
  <c r="M192" i="1" l="1"/>
  <c r="M191" i="1" l="1"/>
  <c r="D22" i="3"/>
  <c r="D21" i="3"/>
  <c r="D24" i="3" s="1"/>
  <c r="M207" i="1"/>
  <c r="M12" i="1" s="1"/>
  <c r="H193" i="1"/>
  <c r="I193" i="1" s="1"/>
  <c r="Q193" i="1"/>
  <c r="H194" i="1"/>
  <c r="I194" i="1" s="1"/>
  <c r="O193" i="1" l="1"/>
  <c r="P193" i="1" s="1"/>
  <c r="S193" i="1" l="1"/>
  <c r="T193" i="1"/>
  <c r="O194" i="1"/>
  <c r="P194" i="1" s="1"/>
  <c r="T194" i="1" s="1"/>
  <c r="Q194" i="1"/>
  <c r="R193" i="1"/>
  <c r="N192" i="1"/>
  <c r="Q192" i="1" s="1"/>
  <c r="H195" i="1"/>
  <c r="I195" i="1" s="1"/>
  <c r="S194" i="1" l="1"/>
  <c r="N191" i="1"/>
  <c r="Q195" i="1"/>
  <c r="O195" i="1"/>
  <c r="P195" i="1" s="1"/>
  <c r="R194" i="1"/>
  <c r="E22" i="3" l="1"/>
  <c r="H22" i="3" s="1"/>
  <c r="Q191" i="1"/>
  <c r="T195" i="1"/>
  <c r="S195" i="1"/>
  <c r="P192" i="1"/>
  <c r="R195" i="1"/>
  <c r="O192" i="1"/>
  <c r="F22" i="3" s="1"/>
  <c r="N207" i="1"/>
  <c r="E21" i="3"/>
  <c r="E24" i="3" s="1"/>
  <c r="I22" i="3" l="1"/>
  <c r="T192" i="1"/>
  <c r="G22" i="3"/>
  <c r="J22" i="3" s="1"/>
  <c r="P191" i="1"/>
  <c r="G21" i="3" s="1"/>
  <c r="S192" i="1"/>
  <c r="O191" i="1"/>
  <c r="R192" i="1"/>
  <c r="H24" i="3"/>
  <c r="H21" i="3"/>
  <c r="V191" i="1"/>
  <c r="V193" i="1" s="1"/>
  <c r="Q207" i="1"/>
  <c r="C18" i="15"/>
  <c r="C19" i="15" s="1"/>
  <c r="N12" i="1"/>
  <c r="K22" i="3" l="1"/>
  <c r="G24" i="3"/>
  <c r="J24" i="3" s="1"/>
  <c r="P207" i="1"/>
  <c r="P12" i="1" s="1"/>
  <c r="S12" i="1" s="1"/>
  <c r="S191" i="1"/>
  <c r="T191" i="1"/>
  <c r="J21" i="3"/>
  <c r="Q12" i="1"/>
  <c r="U197" i="1"/>
  <c r="O207" i="1"/>
  <c r="F21" i="3"/>
  <c r="R191" i="1"/>
  <c r="K21" i="3" l="1"/>
  <c r="F24" i="3"/>
  <c r="I24" i="3" s="1"/>
  <c r="S207" i="1"/>
  <c r="T207" i="1"/>
  <c r="I21" i="3"/>
  <c r="R207" i="1"/>
  <c r="O12" i="1"/>
  <c r="R12" i="1" l="1"/>
</calcChain>
</file>

<file path=xl/sharedStrings.xml><?xml version="1.0" encoding="utf-8"?>
<sst xmlns="http://schemas.openxmlformats.org/spreadsheetml/2006/main" count="928" uniqueCount="574">
  <si>
    <t>NOVATEC Construções e Empeendimentos Ltda.
Rua José de Alencar, nº  916 sala 703 Ilha do Leite Recife-PE CNPJ : 00.338.885/0001-33</t>
  </si>
  <si>
    <t>Local:</t>
  </si>
  <si>
    <t>Município de São Cristóvão/ SE</t>
  </si>
  <si>
    <t>CONTRATO:</t>
  </si>
  <si>
    <t>BM:</t>
  </si>
  <si>
    <t xml:space="preserve">PLANILHA RESUMO </t>
  </si>
  <si>
    <t>Entidade:</t>
  </si>
  <si>
    <t>Prefeitura Municipal de São Cristóvão</t>
  </si>
  <si>
    <t>EDITAL:</t>
  </si>
  <si>
    <t>Concorrência Nº 001/2023</t>
  </si>
  <si>
    <t>ITEM</t>
  </si>
  <si>
    <t>DESCRIÇÃO</t>
  </si>
  <si>
    <t>CONTRATADO</t>
  </si>
  <si>
    <t>ACUM. ANTERIOR</t>
  </si>
  <si>
    <t>MEDIDO MÊS</t>
  </si>
  <si>
    <t>ACUM. ATÉ PERÍODO</t>
  </si>
  <si>
    <t>SALDO</t>
  </si>
  <si>
    <t>(%) DO PERÍODO</t>
  </si>
  <si>
    <t>(%) ACUMULADO</t>
  </si>
  <si>
    <t>(%) À MEDIR</t>
  </si>
  <si>
    <t>TOTAL DO ORÇAMENTO</t>
  </si>
  <si>
    <t>BOLETIM DE MEDIÇÃO</t>
  </si>
  <si>
    <t>BM Nº:</t>
  </si>
  <si>
    <t>CT 054/23</t>
  </si>
  <si>
    <t>Período</t>
  </si>
  <si>
    <t>CÓDIGO</t>
  </si>
  <si>
    <t>QUANTIDADE</t>
  </si>
  <si>
    <t>ADITIVO</t>
  </si>
  <si>
    <t>TOTAL</t>
  </si>
  <si>
    <t>QTD</t>
  </si>
  <si>
    <t>VALOR</t>
  </si>
  <si>
    <t>01</t>
  </si>
  <si>
    <t>SERVIÇOS PRELIMINARES</t>
  </si>
  <si>
    <t>01.01</t>
  </si>
  <si>
    <t>PLACA DA OBRA</t>
  </si>
  <si>
    <t>01.01.001</t>
  </si>
  <si>
    <t>0051 / ORSE</t>
  </si>
  <si>
    <t>Placa de obra em chapa aço galvanizado, instalada</t>
  </si>
  <si>
    <t>m2</t>
  </si>
  <si>
    <t>01.02</t>
  </si>
  <si>
    <t>SINALIZAÇÃO PROVISÓRIA</t>
  </si>
  <si>
    <t/>
  </si>
  <si>
    <t>01.02.001</t>
  </si>
  <si>
    <t>10712 / ORSE</t>
  </si>
  <si>
    <t>Confecção de placa de sinalização totalmente refletiva</t>
  </si>
  <si>
    <t>01.02.002</t>
  </si>
  <si>
    <t>10808 / ORSE</t>
  </si>
  <si>
    <t>Confecção suporte e travessa para placa de sinalização</t>
  </si>
  <si>
    <t>un</t>
  </si>
  <si>
    <t>01.02.003</t>
  </si>
  <si>
    <t>5158 / ORSE</t>
  </si>
  <si>
    <t>Sinalização Diurna com Tela tapume em pvc - 10 usos</t>
  </si>
  <si>
    <t>m</t>
  </si>
  <si>
    <t>01.02.004</t>
  </si>
  <si>
    <t>5156 / ORSE</t>
  </si>
  <si>
    <t>Sinalização noturna com tela tapume pvc, balde plástico fiação e lâmpada, reutilização 7 vezes</t>
  </si>
  <si>
    <t>01.03</t>
  </si>
  <si>
    <t>INTERFERÊNCIAS</t>
  </si>
  <si>
    <t>01.03.001</t>
  </si>
  <si>
    <t>3053 / ORSE</t>
  </si>
  <si>
    <t>Deslocamento de poste de concreto armado duplo T (DT) ou circular de 9 a 12m</t>
  </si>
  <si>
    <t>02</t>
  </si>
  <si>
    <t>CANTEIRO DA OBRA</t>
  </si>
  <si>
    <t>02.01</t>
  </si>
  <si>
    <t>LIMPEZA DE TERRENO</t>
  </si>
  <si>
    <t>02.01.001</t>
  </si>
  <si>
    <t>0004 / ORSE</t>
  </si>
  <si>
    <t>Limpeza mecanizada do terreno c/ trator esteira (vegetaç ão rasteira) inclusive carga e transporte - dmt até 1 km</t>
  </si>
  <si>
    <t>02.01.002</t>
  </si>
  <si>
    <t>4635 / ORSE</t>
  </si>
  <si>
    <t>Compactação de material de bota fora, com rolo vibratóri o pé de carneiro, sem controle do grau de compactação</t>
  </si>
  <si>
    <t>m3</t>
  </si>
  <si>
    <t>02.02</t>
  </si>
  <si>
    <t>REVESTIMENTO PRIMÁRIO e= 0,12m</t>
  </si>
  <si>
    <t>02.02.001</t>
  </si>
  <si>
    <t>11722 / ORSE</t>
  </si>
  <si>
    <t>Material para sub-base, cbr&gt;20,  adquirido solto na jazi da, inclusive carga, exclusive transporte</t>
  </si>
  <si>
    <t>02.02.002</t>
  </si>
  <si>
    <t>Transporte com caminhão basculante de 10 m³ - rodovia em leito natural (SICRO 5914359 JULHO/2022)</t>
  </si>
  <si>
    <t>t.km</t>
  </si>
  <si>
    <t>02.02.003</t>
  </si>
  <si>
    <t>Transporte com caminhão basculante de 10 m³ - rodovia em rodovia pavimentada (SICRO 5914389 JULHO/2022)</t>
  </si>
  <si>
    <t>02.02.004</t>
  </si>
  <si>
    <t>2521 / ORSE</t>
  </si>
  <si>
    <t>Compactação de aterros, com rolo vibratório pé de carnei ro, a 95% do proctor normal</t>
  </si>
  <si>
    <t>02.03</t>
  </si>
  <si>
    <t>TAPUME</t>
  </si>
  <si>
    <t>02.03.001</t>
  </si>
  <si>
    <t>9142 / ORSE</t>
  </si>
  <si>
    <t>Tapume em chapa OSB LP (2,20x1,22m), esp = 10mm (1 uso)</t>
  </si>
  <si>
    <t>02.04</t>
  </si>
  <si>
    <t>BARRACÕES</t>
  </si>
  <si>
    <t>02.04.001</t>
  </si>
  <si>
    <t>0054 / ORSE</t>
  </si>
  <si>
    <t>Barracão para escritório de obra porte médio s=43,56m2 c om materiais novos</t>
  </si>
  <si>
    <t>02.04.002</t>
  </si>
  <si>
    <t>0062 / ORSE</t>
  </si>
  <si>
    <t>Barracão fechado porte pequeno para depósito de cimento e almoxarifado (s=38,72 m2) com materiais novos</t>
  </si>
  <si>
    <t>02.04.003</t>
  </si>
  <si>
    <t>11703 / ORSE</t>
  </si>
  <si>
    <t>Barracão aberto para apoio à produção (carpintaria, cent ral de armação, oficina, etc.) c/ tesouras, telha 4mm, p iso em concreto desempolado</t>
  </si>
  <si>
    <t>02.04.004</t>
  </si>
  <si>
    <t>0061 / ORSE</t>
  </si>
  <si>
    <t>Barracão aberto para refeitório de obra (capacidade 24 r efeições simultâneas)-s=61,60m2 com materiais novos</t>
  </si>
  <si>
    <t>02.04.005</t>
  </si>
  <si>
    <t>10184 / ORSE</t>
  </si>
  <si>
    <t>Barracão para banheiro e vestiário de obra, s=35,10m², c apacidade 20 operários com materiais novos</t>
  </si>
  <si>
    <t>02.05</t>
  </si>
  <si>
    <t>LIGAÇÕES PROVISÓRIAS</t>
  </si>
  <si>
    <t>02.05.001</t>
  </si>
  <si>
    <t>6096 / ORSE</t>
  </si>
  <si>
    <t>Ligação Predial de Água em Mureta de Concreto, Provisóri a ou Definitiva, com Fornecimento de Material, inclusive Mureta e Hidrômetro, Rede DN 50mm</t>
  </si>
  <si>
    <t>um</t>
  </si>
  <si>
    <t>02.05.002</t>
  </si>
  <si>
    <t xml:space="preserve">Entrada provisoria de energia eletrica aerea trifasica 4 0a em poste madeira	</t>
  </si>
  <si>
    <t>02.05.003</t>
  </si>
  <si>
    <t>1711 / ORSE</t>
  </si>
  <si>
    <t>Fossa séptica pré-moldada, tipo oms, capacidade 30 pessoas (v=2710 litros)</t>
  </si>
  <si>
    <t>02.05.004</t>
  </si>
  <si>
    <t>1747 / ORSE</t>
  </si>
  <si>
    <t>Sumidouro paredes com blocos cerâmicos 6 furos e dimensões internas de 3,00 x 1,50 x 1,50 m</t>
  </si>
  <si>
    <t>02.05.005</t>
  </si>
  <si>
    <t>10390 / ORSE</t>
  </si>
  <si>
    <t>Aluguel de banheiro químico, com limpezas diárias</t>
  </si>
  <si>
    <t>mês</t>
  </si>
  <si>
    <t>02.06</t>
  </si>
  <si>
    <t>ÁREA PARA PRÉ-MOLDADOS</t>
  </si>
  <si>
    <t>02.06.001</t>
  </si>
  <si>
    <t>3642 / ORSE</t>
  </si>
  <si>
    <t>Lona plástica preta</t>
  </si>
  <si>
    <t>02.06.002</t>
  </si>
  <si>
    <t>11807 / ORSE</t>
  </si>
  <si>
    <t>Piso em concreto simples desempolado, fck = 21 MPa, e = 10 cm, com forma em quadros 2,0x2,0m, para juntas de comcretagem - tres usos - Rev 01</t>
  </si>
  <si>
    <t>03</t>
  </si>
  <si>
    <t>TERRAPLENAGEM</t>
  </si>
  <si>
    <t>03.01</t>
  </si>
  <si>
    <t>03.01.001</t>
  </si>
  <si>
    <t>PISTA</t>
  </si>
  <si>
    <t>03.01.001.001</t>
  </si>
  <si>
    <t>Escavação, carga e transporte em material de 1ª categoria - DMT de 50 m (SICRO 5501710 JULHO/2021)</t>
  </si>
  <si>
    <t>03.01.001.002</t>
  </si>
  <si>
    <t>Escavação, carga e transporte de material de 1ª categoria - DMT de 50 a 200 m - caminho de serviço em leito natural - com carregadeira e caminhão basculante de 14 m³ (SICRO 5501875 JULHO/2021)</t>
  </si>
  <si>
    <t>03.01.001.003</t>
  </si>
  <si>
    <t>Escavação, carga e transporte de material de 1ª categoria - DMT de 200 a 400 m - caminho de serviço em leito natural - com carregadeira e caminhão basculante de 14 m³ (5501876)</t>
  </si>
  <si>
    <t>03.01.001.004</t>
  </si>
  <si>
    <t>Escavação, carga e transporte de material de 1ª categoria - DMT de 600 a 800 m - caminho de serviço em leito natural - com carregadeira e caminhão basculante de 14 m³ (SICRO 5501878 JULHO/2021)</t>
  </si>
  <si>
    <t>03.01.001.005</t>
  </si>
  <si>
    <t>Escavação, carga e transporte de material de 1ª categoria - DMT de 1.000 a 1.200 m - caminho de serviço em leito natural - com carregadeira e caminhão basculante de 14 m3</t>
  </si>
  <si>
    <t>03.01.001.006</t>
  </si>
  <si>
    <t>Escavação, carga e transporte de material de 1ª categoria - DMT de 1.200 a 1.400 m - caminho de serviço em leito natural - com carregadeira e caminhão basculante de 14 m³ (SICRO 5501881 JULHO/2021)</t>
  </si>
  <si>
    <t>03.01.001.007</t>
  </si>
  <si>
    <t>Escavação, carga e transporte de material de 1ª categoria - DMT de 2.000 a 2.500 m - caminho de serviço em leito natural - com carregadeira e caminhão basculante de 14 m³ (SICRO 5501885 JULHO/2021)</t>
  </si>
  <si>
    <t>03.01.001.008</t>
  </si>
  <si>
    <t>Transporte de material de 1ª cat (DMT &gt; 3km), c/ caminhão basculante - revestimento primário (SICRO 5915320 JULH
O/2021)</t>
  </si>
  <si>
    <t>03.01.001.009</t>
  </si>
  <si>
    <t>Compactação de aterros a 100% do Proctor normal (SICRO 5 502978 JULHO/2021)</t>
  </si>
  <si>
    <t>04</t>
  </si>
  <si>
    <t>DRENAGEM PLUVIAL</t>
  </si>
  <si>
    <t>04.01</t>
  </si>
  <si>
    <t>04.01.001</t>
  </si>
  <si>
    <t>MOVIMENTO DE TERRA NA DRENAGEM</t>
  </si>
  <si>
    <t>04.01.001.001</t>
  </si>
  <si>
    <t>7133 / ORSE</t>
  </si>
  <si>
    <t>Escoramento metálico p/ valas, h&lt;=2.50 m, com pranchas m etálicas de 4,7 mm x 30 cm e longarinas em peças de made ira de 3"x6",  reaproveitamento : 60 vezes</t>
  </si>
  <si>
    <t>04.01.001.002</t>
  </si>
  <si>
    <t>7081 / ORSE</t>
  </si>
  <si>
    <t>Bombeamento direto p/ esgotamento de valas com Gerador</t>
  </si>
  <si>
    <t>H</t>
  </si>
  <si>
    <t>04.01.001.003</t>
  </si>
  <si>
    <t>2503 / ORSE</t>
  </si>
  <si>
    <t>04.01.001.004</t>
  </si>
  <si>
    <t>2504 / ORSE</t>
  </si>
  <si>
    <t>04.01.001.005</t>
  </si>
  <si>
    <t>2497 / ORSE</t>
  </si>
  <si>
    <t>Escavação manual de vala ou cava em material de 1ª categ oria, profundidade até 1,50m</t>
  </si>
  <si>
    <t>04.01.001.006</t>
  </si>
  <si>
    <t>2519 / ORSE</t>
  </si>
  <si>
    <t>04.01.001.007</t>
  </si>
  <si>
    <t>4986 / ORSE</t>
  </si>
  <si>
    <t>Carga mecânica de material de 1ª categoria</t>
  </si>
  <si>
    <t>04.01.001.008</t>
  </si>
  <si>
    <t>Transporte com caminhão basculante de 10 m³ - rodovia em leito natural (SICRO 5914359 JULHO/2022) (DMT=0,5km)</t>
  </si>
  <si>
    <t>04.01.002</t>
  </si>
  <si>
    <t>DISPOSITIVOS DE DRENAGEM PLUVIAL</t>
  </si>
  <si>
    <t>04.01.002.001</t>
  </si>
  <si>
    <t>Sarjeta triangular de concreto - STC 01 - areia e brita comerciais (SICRO 2003319 JULHO/2022)</t>
  </si>
  <si>
    <t>04.01.002.002</t>
  </si>
  <si>
    <t>Sarjeta triangular de concreto - STC 03 - areia e brita comerciais (SICRO 2003323 JULHO/2022)</t>
  </si>
  <si>
    <t>04.01.002.003</t>
  </si>
  <si>
    <t>Sarjeta trapezoidal de concreto - SZC 01 - areia e brita comerciais (SICRO 2003343 JULHO/2022)</t>
  </si>
  <si>
    <t>04.01.002.004</t>
  </si>
  <si>
    <t>Sarjeta de canteiro central de concreto - SCC 03 - areia e brita comerciais (SICRO 2003353 JULHO/2022)</t>
  </si>
  <si>
    <t>04.01.002.005</t>
  </si>
  <si>
    <t>Sarjeta de canteiro central de concreto - SCC 04 - areia e brita comerciais (SICRO 2003355 JULHO/2022)</t>
  </si>
  <si>
    <t>04.01.002.006</t>
  </si>
  <si>
    <t>Valeta de proteção de cortes com revestimento de concret o - VPC 03 - areia e brita comerciais (SICRO 2003307 JUL HO/2022)</t>
  </si>
  <si>
    <t>04.01.002.007</t>
  </si>
  <si>
    <t>Meio-fio de concreto - MFC 03 - areia e brita comerciais
- fôrma de madeira (SICRO 2003373 JULHO/2022)</t>
  </si>
  <si>
    <t>04.01.002.008</t>
  </si>
  <si>
    <t>Meio-fio de concreto - MFC 05 - areia e brita comerciais
- fôrma de madeira (SICRO 2003377 JULHO/2022)</t>
  </si>
  <si>
    <t>04.01.002.009</t>
  </si>
  <si>
    <t>Entrada para descida d’água - EDA 01 - areia e brita com erciais (SICRO 2003385 JULHO/2022)</t>
  </si>
  <si>
    <t>ud</t>
  </si>
  <si>
    <t>04.01.002.010</t>
  </si>
  <si>
    <t>Entrada para descida d’água - EDA 02 - areia e brita com erciais (SICRO 2003387 JULHO/2022)</t>
  </si>
  <si>
    <t>04.01.002.011</t>
  </si>
  <si>
    <t>Transposição de segmentos de sarjeta - TSS 03 - areia e brita comerciais (SICRO 2003361 JULHO/2022)</t>
  </si>
  <si>
    <t>04.01.002.012</t>
  </si>
  <si>
    <t>Descida d’água de aterros em degraus - DAD 02 - areia e brita comerciais (SICRO 2003407 JULHO/2022)</t>
  </si>
  <si>
    <t>04.01.002.013</t>
  </si>
  <si>
    <t>Descida d’água de aterros tipo rápido - DAR 03 - areia e
brita comerciais (SICRO 2003393 JULHO/2022)</t>
  </si>
  <si>
    <t xml:space="preserve">04.01.002.014               </t>
  </si>
  <si>
    <t>Dissipador de energia - DEB 01 - areia, brita e pedra de
mão comerciais (SICRO 2003449 JULHO/2022)</t>
  </si>
  <si>
    <t xml:space="preserve">04.01.002.015               </t>
  </si>
  <si>
    <t>Dissipador de energia - DEB 02 - areia, brita e pedra de
mão comerciais (SICRO 2003451 JULHO/2022)</t>
  </si>
  <si>
    <t xml:space="preserve">04.01.002.016 </t>
  </si>
  <si>
    <t>Dissipador de energia - DEB 03 - areia, brita e pedra de
mão comerciais (SICRO 2003453 JULHO/2022)</t>
  </si>
  <si>
    <t xml:space="preserve">04.01.002.017 </t>
  </si>
  <si>
    <t>Dissipador de energia - DEB 04 - areia, brita e pedra de
mão comerciais (SICRO 2003455 JULHO/2022)</t>
  </si>
  <si>
    <t xml:space="preserve">04.01.002.018               </t>
  </si>
  <si>
    <t>Dissipador de energia - DEB 06 - areia, brita e pedra de
mão comerciais (SICRO 2003459 JULHO/2022)</t>
  </si>
  <si>
    <t>04.01.002.019</t>
  </si>
  <si>
    <t>Dissipador de energia - DEB 09 - areia, brita e pedra de
mão comerciais (SICRO 2003465 JULHO/2022)</t>
  </si>
  <si>
    <t>04.01.002.020</t>
  </si>
  <si>
    <t>Dissipador de energia - DES 03 - areia e pedra de mão co
merciais (SICRO 2003445 JULHO/2022)</t>
  </si>
  <si>
    <t xml:space="preserve">04.01.002.021               </t>
  </si>
  <si>
    <t>Dissipador de energia - DES 02 - areia e pedra de mão co
merciais (SICRO 2003443 JULHO/2022)</t>
  </si>
  <si>
    <t xml:space="preserve">04.01.002.022 </t>
  </si>
  <si>
    <t>Caixa coletora de talvegue - CCT 02 - areia e brita come
rciais (SICRO 2003730 JULHO/2022)</t>
  </si>
  <si>
    <t xml:space="preserve">04.01.002.023              </t>
  </si>
  <si>
    <t>Caixa coletora de talvegue - CCT 04 - areia e brita come
rciais (SICRO 2003734 JULHO/2022</t>
  </si>
  <si>
    <t xml:space="preserve">04.01.002.024         </t>
  </si>
  <si>
    <t>Caixa coletora de talvegue - CCT 06 - areia e brita come
rciais (SICRO 2003738 JULHO/2022)</t>
  </si>
  <si>
    <t xml:space="preserve">04.01.002.025   </t>
  </si>
  <si>
    <t>Caixa coletora de talvegue - CCT 10 - areia e brita come
rciais (SICRO 2003746 JULHO/2022)</t>
  </si>
  <si>
    <t xml:space="preserve">04.01.002.026       </t>
  </si>
  <si>
    <t>Boca de BSTC D = 0,60 m - esconsidade 0° - areia e brita
comerciais - alas retas (SICRO 0804081 JULHO/2022)</t>
  </si>
  <si>
    <t xml:space="preserve">04.01.002.027   </t>
  </si>
  <si>
    <t>Boca de BSTC D = 0,80 m - esconsidade 0° - areia e brita
comerciais - alas retas (SICRO 0804101 JULHO/2022)</t>
  </si>
  <si>
    <t xml:space="preserve">04.01.002.028 </t>
  </si>
  <si>
    <t>Boca de BSTC D = 1,20 m - esconsidade 0° - areia e brita  comerciais - alas retas (SICRO 0804141 JULHO/2022)</t>
  </si>
  <si>
    <t>04.01.002.029</t>
  </si>
  <si>
    <t>Boca de BDTC D = 1,20 m - esconsidade 0° - areia e brita comerciais - alas retas (SICRO 0804253 JULHO/2022)</t>
  </si>
  <si>
    <t>04.01.002.030</t>
  </si>
  <si>
    <t>Boca de BDCC 3,00 x 3,00 m - esconsidade 0° - areia e br ita comerciais (SICRO 0705338 JULHO/2022)</t>
  </si>
  <si>
    <t>04.01.002.031</t>
  </si>
  <si>
    <t>Corpo de BDCC 3,00 x 3,00 m - moldado no local - altura do aterro 2,50 a 5,00 m - areia e brita comerciais (SICR O 0705303 JULHO/2022)</t>
  </si>
  <si>
    <t>04.01.002.032</t>
  </si>
  <si>
    <t>6320 / ORSE</t>
  </si>
  <si>
    <t>Lastro de concreto, fck=15 mpa, lançado e adensado</t>
  </si>
  <si>
    <t>04.01.002.033</t>
  </si>
  <si>
    <t>Corpo de BSTC D = 0,40 m PA2 - areia, brita e pedra de m ão comerciais (SICRO 0804015 JULHO/2022)</t>
  </si>
  <si>
    <t>04.01.002.034</t>
  </si>
  <si>
    <t>Corpo de BSTC D = 0,60 m PA2 - areia, brita e pedra de m ão comerciais (SICRO 0804023 JULHO/2022)</t>
  </si>
  <si>
    <t>04.01.002.035</t>
  </si>
  <si>
    <t>Corpo de BSTC D = 0,80 m PA2 - areia, brita e pedra de m ão comerciais (SICRO 0804031 JULHO/2022)</t>
  </si>
  <si>
    <t>04.01.002.036</t>
  </si>
  <si>
    <t>Corpo de BSTC D = 1,20 m PA2 - areia, brita e pedra de m ão comerciais (SICRO 0804047 JULHO/2022)</t>
  </si>
  <si>
    <t>04.01.002.037</t>
  </si>
  <si>
    <t>Corpo de BDTC D = 1,20 m PA2 - areia, brita e pedra de m
ão comerciais (SICRO 0804199 JULHO/2022)</t>
  </si>
  <si>
    <t>04.01.002.038</t>
  </si>
  <si>
    <t>1108 / CTENG</t>
  </si>
  <si>
    <t>04.01.002.039</t>
  </si>
  <si>
    <t>1359 / CTENG</t>
  </si>
  <si>
    <r>
      <rPr>
        <sz val="10"/>
        <rFont val="Arial"/>
        <family val="2"/>
      </rPr>
      <t>Boca de lobo simples em alvenaria de tij. maçicos esp.=0
,20m, combinada (grelha e gaveta) h= 1,50m</t>
    </r>
  </si>
  <si>
    <t>04.01.002.040</t>
  </si>
  <si>
    <t>2725 / ORSE</t>
  </si>
  <si>
    <t>Complemento de altura para poço de visita em alvenaria c om tijolos maciços esp. = 0,20m.</t>
  </si>
  <si>
    <t>04.01.003</t>
  </si>
  <si>
    <t>CANAL DE CONCRETO ARMADO (S: 1,2x0,85m) L=79,50m</t>
  </si>
  <si>
    <t>04.01.003.001</t>
  </si>
  <si>
    <t>0122 / ORSE</t>
  </si>
  <si>
    <t>Forma plana para estruturas, em compensado plastificado de 14mm, 05 usos, inclusive escoramento - Revisada 07.20 15</t>
  </si>
  <si>
    <t>04.01.003.002</t>
  </si>
  <si>
    <t>0140 / ORSE</t>
  </si>
  <si>
    <t>kg</t>
  </si>
  <si>
    <t>04.01.003.003</t>
  </si>
  <si>
    <t>0141 / ORSE</t>
  </si>
  <si>
    <t>04.01.003.004</t>
  </si>
  <si>
    <t>11485 / ORSE</t>
  </si>
  <si>
    <t>Concreto simples usinado fck=40mpa, bombeado, lançado e adensado na infraestrutura</t>
  </si>
  <si>
    <t>04.01.003.005</t>
  </si>
  <si>
    <t>9154 / ORSE</t>
  </si>
  <si>
    <t>04.01.003.006</t>
  </si>
  <si>
    <t>94962 / SINAPI</t>
  </si>
  <si>
    <t>Concreto magro para lastro, traço 1:4,5:4,5 (em massa se ca de cimento/ areia média/ brita 1) - preparo mecânico com betoneira 400 l. af_05/2021</t>
  </si>
  <si>
    <t>04.01.004</t>
  </si>
  <si>
    <t>CAIXAS COLETORAS DE TALVEGUE (alturas menores que as do projeto tipico)</t>
  </si>
  <si>
    <t>04.01.004.001</t>
  </si>
  <si>
    <t>04.01.004.002</t>
  </si>
  <si>
    <t>04.01.004.003</t>
  </si>
  <si>
    <t>12651 / ORSE</t>
  </si>
  <si>
    <t>Apiloamento manual</t>
  </si>
  <si>
    <t>04.01.005</t>
  </si>
  <si>
    <t>TAMPONAMENTO DE CAIXAS COLETORAS DE TALVEGUE</t>
  </si>
  <si>
    <t>04.01.005.001</t>
  </si>
  <si>
    <t>6457 / ORSE</t>
  </si>
  <si>
    <t>Concreto armado fck=15MPa fabricado na obra, adensado e lançado, para Uso Geral, com formas planas em compensado resinado 12mm (05 usos)</t>
  </si>
  <si>
    <t>05</t>
  </si>
  <si>
    <t>PAVIMENTAÇÃO</t>
  </si>
  <si>
    <t>05.01</t>
  </si>
  <si>
    <t>REGULARIZACAO</t>
  </si>
  <si>
    <t>05.01.001</t>
  </si>
  <si>
    <t>Regularização do subleito (SICRO 4011209 JULHO/2022)</t>
  </si>
  <si>
    <t>05.02</t>
  </si>
  <si>
    <t>05.02.001</t>
  </si>
  <si>
    <t>AQUISIÇÃO DO MATERIAL DE SUB-BASE DA JAZIDA JABOTIANA</t>
  </si>
  <si>
    <t>05.02.001.001</t>
  </si>
  <si>
    <t>05.02.001.002</t>
  </si>
  <si>
    <t>Transporte com caminhão basculante de 10 m³ - rodovia pa vimentada (SICRO 5914389 JULHO/2022)</t>
  </si>
  <si>
    <t>05.02.001.003</t>
  </si>
  <si>
    <t>05.02.002</t>
  </si>
  <si>
    <t>EXECUÇÃO DE SUB-BASE</t>
  </si>
  <si>
    <t>05.02.002.001</t>
  </si>
  <si>
    <t>2563 / ORSE</t>
  </si>
  <si>
    <t>Sub-base estabilizada granulometricamente sem mistura (e xclusive material de sub-base)</t>
  </si>
  <si>
    <t>05.03</t>
  </si>
  <si>
    <t>BASE</t>
  </si>
  <si>
    <t>05.03.001</t>
  </si>
  <si>
    <t>AQUISIÇÃO DE SOLO DE SUB-BASE DA JAZIDA JABOTIANA</t>
  </si>
  <si>
    <t>05.03.001.001</t>
  </si>
  <si>
    <t>11710 / ORSE</t>
  </si>
  <si>
    <t>Material para sub-base com cbr&gt;20, inclusive aquisição, escavação e carga na jazida (medido pelo corte), exclusi ve limpeza da área e transporte</t>
  </si>
  <si>
    <t>05.03.001.002</t>
  </si>
  <si>
    <t>05.03.001.003</t>
  </si>
  <si>
    <t>05.03.002</t>
  </si>
  <si>
    <t>AQUISIÇÃO DE PEDRA DA PEDREIRA MM</t>
  </si>
  <si>
    <t>05.03.002.001</t>
  </si>
  <si>
    <t>4748 / SINAPI</t>
  </si>
  <si>
    <t>05.03.002.002</t>
  </si>
  <si>
    <t>05.03.003</t>
  </si>
  <si>
    <t>EXECUÇÃO DE BASE</t>
  </si>
  <si>
    <t>05.03.003.001</t>
  </si>
  <si>
    <t>1519 / CTENG</t>
  </si>
  <si>
    <t>05.04</t>
  </si>
  <si>
    <t>CAPA ASFÁLTICA</t>
  </si>
  <si>
    <t>05.04.001</t>
  </si>
  <si>
    <t>IMPRIMAÇÃO</t>
  </si>
  <si>
    <t>05.04.001.001</t>
  </si>
  <si>
    <t>3428 / ORSE</t>
  </si>
  <si>
    <t>05.04.002</t>
  </si>
  <si>
    <t>PINTURA DE LIGAÇÃO</t>
  </si>
  <si>
    <t>05.04.002.001</t>
  </si>
  <si>
    <t>7176 / ORSE</t>
  </si>
  <si>
    <t>05.04.003</t>
  </si>
  <si>
    <t>C.A.U.Q</t>
  </si>
  <si>
    <t>05.04.003.001</t>
  </si>
  <si>
    <t>1353 / CTENG</t>
  </si>
  <si>
    <t>05.04.004</t>
  </si>
  <si>
    <t>TRANSPORTE de C.A.U.Q</t>
  </si>
  <si>
    <t>05.04.004.001</t>
  </si>
  <si>
    <t>00985 / SINAPI</t>
  </si>
  <si>
    <t>Carga de mistura asfáltica em caminhão basculante 6 m³ ( unidade: m3). af_07/2020</t>
  </si>
  <si>
    <t>05.04.004.002</t>
  </si>
  <si>
    <t>Transporte de mistura betuminosa a quente com caminhão c om caçamba térmica de 6m³ - rodovia pavimentada (SICRO 5 914612 JULHO/2022)</t>
  </si>
  <si>
    <t>05.05</t>
  </si>
  <si>
    <t>05.05.001</t>
  </si>
  <si>
    <t>CTENG 1389</t>
  </si>
  <si>
    <t>Execução de pavimento em paralelepípedos, rejuntamento com argamassa traço 1:3 (cimento e areia). af_05/2020 (CTENG 1389)</t>
  </si>
  <si>
    <t>05.05.002</t>
  </si>
  <si>
    <t>4960 / ORSE</t>
  </si>
  <si>
    <t>Meio-fio granítico, rejuntado com argamassa de cimento e areia no traço 1:3</t>
  </si>
  <si>
    <t>06</t>
  </si>
  <si>
    <t>SINALIZAÇÃO VIARIA</t>
  </si>
  <si>
    <t>06.01</t>
  </si>
  <si>
    <t>SINALIZAÇÃO VERTICAL</t>
  </si>
  <si>
    <t>06.01.001</t>
  </si>
  <si>
    <t>Placa de regulamentação em aço, R1 lado 0,414 m - película retrorrefletiva tipo I + SI - fornecimento e implantação (SICRO 5213446 JULHO2022)</t>
  </si>
  <si>
    <t>06.01.002</t>
  </si>
  <si>
    <t>Placa de regulamentação em aço, R2 lado 1,00 m - película retrorrefletiva tipo I + SI - fornecimento e implantação (SICRO 5213450 JULHO/2022)</t>
  </si>
  <si>
    <t>06.01.003</t>
  </si>
  <si>
    <t>Placa de regulamentação em aço D = 1,00 m - película retrorrefletiva tipo I + SI - fornecimento e implantação (SICRO 5213442 JULHO/2022)</t>
  </si>
  <si>
    <t>06.01.004</t>
  </si>
  <si>
    <t>Placa de advertência em aço, lado de 1,00 m - película retrorrefletiva tipo I + SI - fornecimento e implantação(SICRO 5213466 JULHO/2022)</t>
  </si>
  <si>
    <t>06.01.005</t>
  </si>
  <si>
    <t>Placa em aço - 2,00 x 1,00 m - película retrorrefletiva tipo I + III - fornecimento e implantação (SICRO 5213498JULHO/2022)</t>
  </si>
  <si>
    <t>06.01.006</t>
  </si>
  <si>
    <t>Placa em aço - película I + III - fornecimento e implantação (SICRO 5213571 JULHO/2022)</t>
  </si>
  <si>
    <t>06.01.007</t>
  </si>
  <si>
    <t>Suporte para placa de sinalização em madeira de lei tratada 8 x 8 cm - fornecimento e implantação (SICRO 5216111 JULHO/2022)</t>
  </si>
  <si>
    <t>06.02</t>
  </si>
  <si>
    <t>SINALIZAÇÃO HORIZONTAL</t>
  </si>
  <si>
    <t>06.02.001</t>
  </si>
  <si>
    <t>Pintura de faixa com plástico a frio tricomponente à base de resinas metacrílicas por aspersão - espessura de 0,6 mm (SICRO 5213413 JULHO/2022)</t>
  </si>
  <si>
    <t>06.02.002</t>
  </si>
  <si>
    <t>Pintura de setas e zebrados com tinta acrílica - espessura de 0,6 mm (SICRO 5213405 JULHO/2022)</t>
  </si>
  <si>
    <t>06.02.003</t>
  </si>
  <si>
    <t>02509 / SINAPI</t>
  </si>
  <si>
    <t>Pintura de faixa de pedestre ou zebrada tinta retrorrefletiva a base de resina acrílica com microesferas de vidro, e = 30 cm, aplicação manual. af_05/2021</t>
  </si>
  <si>
    <t>06.02.004</t>
  </si>
  <si>
    <t>Tacha refletiva em resina sintética - bidirecional tipo III - com um pino - fornecimento e colocação (SICRO 5219623 JULHO/2022)</t>
  </si>
  <si>
    <t>06.02.005</t>
  </si>
  <si>
    <t>Tacha refletiva em resina sintética - monodirecional tipo III - com um pino - fornecimento e colocação (SICRO 5219631 JULHO/2022)</t>
  </si>
  <si>
    <t>07</t>
  </si>
  <si>
    <t>OBRAS COMPLEMENTARES</t>
  </si>
  <si>
    <t>07.01</t>
  </si>
  <si>
    <t>PROTECAO VEGETAL</t>
  </si>
  <si>
    <t>07.01.001</t>
  </si>
  <si>
    <t>4405 / ORSE</t>
  </si>
  <si>
    <t>Grama nativa capim de burro ou batatais, em placas, fornecimento e plantio</t>
  </si>
  <si>
    <t>07.01.002</t>
  </si>
  <si>
    <t>9251 / ORSE</t>
  </si>
  <si>
    <t>Hidrossemeadura</t>
  </si>
  <si>
    <t>07.02</t>
  </si>
  <si>
    <t>DIVERSOS</t>
  </si>
  <si>
    <t>07.02.001</t>
  </si>
  <si>
    <t>6170 / ORSE</t>
  </si>
  <si>
    <t>Religação de corte no ramal</t>
  </si>
  <si>
    <t>07.02.002</t>
  </si>
  <si>
    <t>02498 / SINAPI</t>
  </si>
  <si>
    <t>07.02.003</t>
  </si>
  <si>
    <t>6191 / ORSE</t>
  </si>
  <si>
    <t>Limpeza de ruas (varrição e remoção de entulhos)</t>
  </si>
  <si>
    <t>m²</t>
  </si>
  <si>
    <t>07.02.004</t>
  </si>
  <si>
    <t>Cerca com 4 fios de arame farpado e mourão de madeira a cada 2,5 m e esticador a cada 50 m (SICRO 3713608 JULHO/ 2021)</t>
  </si>
  <si>
    <t>07.03</t>
  </si>
  <si>
    <t>PASSEIOS</t>
  </si>
  <si>
    <t>07.03.001</t>
  </si>
  <si>
    <t>94995 / SINAPI</t>
  </si>
  <si>
    <t>07.03.002</t>
  </si>
  <si>
    <t>1388 / CTENG</t>
  </si>
  <si>
    <t>Pó de pedra com frete</t>
  </si>
  <si>
    <t>07.03.003</t>
  </si>
  <si>
    <t>1379 / CTENG</t>
  </si>
  <si>
    <t>Junta serrada, e=0,5cm, com preenchimento de mastique de poliuretano MBT, Basf ou similar.</t>
  </si>
  <si>
    <t>07.03.004</t>
  </si>
  <si>
    <t>1355 / CTENG</t>
  </si>
  <si>
    <t>Junta de construção, e=1,5cm, com preenchimento de masti que de poliuretano MBT, Basf ou similar, para pavimentos em concreto</t>
  </si>
  <si>
    <t>07.04</t>
  </si>
  <si>
    <t>RAMPAS E TRAVESSIAS</t>
  </si>
  <si>
    <t>07.04.001</t>
  </si>
  <si>
    <t>0105 / ORSE</t>
  </si>
  <si>
    <t>Concreto simples usinado fck=35mpa, bombeado, lançado e adensado em superestrutura</t>
  </si>
  <si>
    <t>07.04.002</t>
  </si>
  <si>
    <t>3638 / ORSE</t>
  </si>
  <si>
    <t>Fornecimento e instalação de tela aço soldada nervurada CA-60, Q-196, malha 10x10cm, ferro 5.0mm (3,11 kg/m2), p ainel 2,45x6,0m, Telcon ou similar</t>
  </si>
  <si>
    <t>08</t>
  </si>
  <si>
    <t>ADMINISTRAÇÃO DO EMPREENDIMENTO</t>
  </si>
  <si>
    <t>08.01</t>
  </si>
  <si>
    <t>ADMINISTRAÇÃO LOCAL</t>
  </si>
  <si>
    <t>08.01.001</t>
  </si>
  <si>
    <t>Equipe Dirigente</t>
  </si>
  <si>
    <t>08.01.002</t>
  </si>
  <si>
    <t>Manutenção do Canteiro</t>
  </si>
  <si>
    <t>08.01.003</t>
  </si>
  <si>
    <t>Equipamentos de Apoio à Produção</t>
  </si>
  <si>
    <t>08.02</t>
  </si>
  <si>
    <t>MOBILIZAÇÃO E DESMOBILIZAÇÃO DE EQUIPAMENTOS</t>
  </si>
  <si>
    <t xml:space="preserve">08.02.001 </t>
  </si>
  <si>
    <t xml:space="preserve"> MOBILIZAÇÃO E DESMOBILIZAÇÃO DE EQUIPAMENTOS</t>
  </si>
  <si>
    <t>09</t>
  </si>
  <si>
    <t>AQUISIÇÃO DE MATERIAIS BETUMINOSOS</t>
  </si>
  <si>
    <t>09.01</t>
  </si>
  <si>
    <t>FORNECIMENTO DE MATERIAIS BETUMINOSOS</t>
  </si>
  <si>
    <t>09.01.001</t>
  </si>
  <si>
    <t>Asfalto diluído de petróleo - adp -  cm-30 (densidade = 0,85 Kg/l) (ANP +  IMPOSTOS) (CE OUT/22)</t>
  </si>
  <si>
    <t>t</t>
  </si>
  <si>
    <t>09.01.002</t>
  </si>
  <si>
    <t>09.01.003</t>
  </si>
  <si>
    <t>09.02</t>
  </si>
  <si>
    <t>TRANSPORTE DE MATERIAIS BETUMINOSOS</t>
  </si>
  <si>
    <t xml:space="preserve">09.02.001 </t>
  </si>
  <si>
    <t>Asfalto diluido de petroleo CM-30 (CE OUT/22)</t>
  </si>
  <si>
    <t>09.02.002</t>
  </si>
  <si>
    <t>Emulsão asfaltica cationica RR-2C (MG OUT/22)</t>
  </si>
  <si>
    <t>09.02.003</t>
  </si>
  <si>
    <t>Cimento asfaltico de petroleo CAP 50/70 (BA OUT/22)</t>
  </si>
  <si>
    <t>PREÇO UNITÁRIO</t>
  </si>
  <si>
    <t>PERCENTUAL</t>
  </si>
  <si>
    <t>ACUMULADO ANTERIOR</t>
  </si>
  <si>
    <t>DO PERÍODO</t>
  </si>
  <si>
    <t>ACUMULADO ATÉ PERÍODO</t>
  </si>
  <si>
    <t>SALDO À MEDIR</t>
  </si>
  <si>
    <t>P UNIT S/ BDI</t>
  </si>
  <si>
    <t>Imprimação aplicada em execução de rodovias (prod. = 1.2
50 m2/h), sem fornecimento de material e sem transporte</t>
  </si>
  <si>
    <t>BORDO</t>
  </si>
  <si>
    <t>ESTACA</t>
  </si>
  <si>
    <t xml:space="preserve"> FORNECIMENTO DE MATERIAIS BETUMINOSOS</t>
  </si>
  <si>
    <t>TOTAL DOS SERVIÇOS - FORNECIMENTO DO MATERIAL BETUMINOSO</t>
  </si>
  <si>
    <t>Total da Obra</t>
  </si>
  <si>
    <t>ADM LOCAL</t>
  </si>
  <si>
    <t>TOTAL DA OBRA SEM ADM LOCAL</t>
  </si>
  <si>
    <t>ADM LOCAL / (TOTAL DA OBRA SEM ADM LOCAL)</t>
  </si>
  <si>
    <t>OBJETO: Execução das obras e serviços de construção da “Rodovia dos Trabalhadores”, que integrará a Rodovia SE-065 à Rodovia BR-101, sob o regime de empreitada por preço unitário.</t>
  </si>
  <si>
    <t>MEMÓRIA DE CÁLCULO - ADMINISTRAÇÃO LOCAL</t>
  </si>
  <si>
    <t>PARALELEPÍPEDO</t>
  </si>
  <si>
    <t>Cimento asfaltico de petroleo a granel (cap) 50/70 (coletado caixa na anp acrescido de icms)  (ANP +  IMPOSTOS) (BA OUT/22)</t>
  </si>
  <si>
    <t>Poço de visita em alvenaria tij. maciços esp.=0,20m, dim
. int.= 1,20x1,20x1,60m</t>
  </si>
  <si>
    <t>Execução de pintura asfáltica de ligação, exclusive fornecimento de ligante</t>
  </si>
  <si>
    <t>SUB-BASE</t>
  </si>
  <si>
    <t>Base com solo-brita, misturado na pista (exclusive material de base e brita)</t>
  </si>
  <si>
    <t>Ordem de serviço: 18/09/2023</t>
  </si>
  <si>
    <t>Contrato:</t>
  </si>
  <si>
    <t>Objeto: Execução das obras e serviços de construção da “Rodovia dos Trabalhadores”, que integrará a Rodovia SE-065 à Rodovia BR-101, sob o regime de empreitada por preço unitário.</t>
  </si>
  <si>
    <t>Período:</t>
  </si>
  <si>
    <t xml:space="preserve">MEDIÇÃO DO PERÍODO (SEM ADM) </t>
  </si>
  <si>
    <t>Pedra britada ou bica corrida, nao classificada (posto pedreira/fornecedor, sem frete)</t>
  </si>
  <si>
    <t>OBJETO: Execução das obras e serviços de construção da “Rodovia dos Trabalhadores”, que integrará a Rodovia SE-065 à Rodovia BR-101.</t>
  </si>
  <si>
    <t>Execução de passeio (calçada) ou piso de concreto com concreto moldado in loco, usinado, acabamento convencional
, espessura 8 cm, armado. af_07/2016</t>
  </si>
  <si>
    <t>ADM LOCAL - MEDIÇÃO</t>
  </si>
  <si>
    <t>ADM LOCAL (PERÍODO)</t>
  </si>
  <si>
    <t>ACUMULADO ATÉ O PERÍODO</t>
  </si>
  <si>
    <t>LOCALIZAÇÃO</t>
  </si>
  <si>
    <t>UND</t>
  </si>
  <si>
    <t>Aço CA - 50 Ø 6,3 a 12,5mm, inclusive corte, dobragem, montagem e colocacao de ferragens nas formas, para supere struturas e fundações - R1</t>
  </si>
  <si>
    <t>Aço CA - 60 Ø 4,2 a 9,5mm, inclusive corte, dobragem, montagem e colocacao de ferragens nas formas, para superes truturas e fundações - R1</t>
  </si>
  <si>
    <t>Fôrma plana para estruturas, em compensado plastificado de 14mm, 05 usos, inclusive escoramento - Revisada 07.20 15</t>
  </si>
  <si>
    <t>Impermeabilização - Fornecimento e aplicação de manta geotêxtil RT-21, resistencia a tração=21 kN/m (antigo Bidi m OP-40 ou similar) em colchões drenantes</t>
  </si>
  <si>
    <t>Escavação com retro-escavadeira de pneus, de valas, em material de 1ª categoria entre 1,50 e 3,00 m de profundidade</t>
  </si>
  <si>
    <t>Escavação com retro-escavadeira de pneus, de valas, em material de 1ª categoria até 1,50 m de profundidade</t>
  </si>
  <si>
    <t>Reaterro manual de valas ou áreas, com espalhamento e compactação, utilizando compactador à percussão/sapinho, sem controle do grau de compactação</t>
  </si>
  <si>
    <t>Material para sub-base, cbr&gt;20,  adquirido solto na jazida, inclusive carga, exclusive transporte</t>
  </si>
  <si>
    <t>Transporte com caminhão basculante de 10 m³ - rodovia pavimentada (SICRO 5914389 JULHO/2022)</t>
  </si>
  <si>
    <t>Execução de pavimento com aplicação de concreto asfáltico, sem cap, camada de rolamento - exclusive carga e transporte</t>
  </si>
  <si>
    <t>DISCRIMINAÇÃO</t>
  </si>
  <si>
    <t>EXTENSÃO (m)</t>
  </si>
  <si>
    <t>LARGURA (m)</t>
  </si>
  <si>
    <t>ESPESSURA (m)</t>
  </si>
  <si>
    <t>ÁREA (m2)</t>
  </si>
  <si>
    <t>VOLUME (m3)</t>
  </si>
  <si>
    <t>DMT (km)</t>
  </si>
  <si>
    <t>INICIAL</t>
  </si>
  <si>
    <t>FINAL</t>
  </si>
  <si>
    <t>-</t>
  </si>
  <si>
    <t>259 + 0,00</t>
  </si>
  <si>
    <t>270 + 0,00</t>
  </si>
  <si>
    <t>TOTAL =</t>
  </si>
  <si>
    <t>C.A.U.Q.</t>
  </si>
  <si>
    <t>Execução de pavimento com aplicação de concreto asfáltico, sem cap, camada de rolamento</t>
  </si>
  <si>
    <t>Carga de mistura asfáltica em caminhão basculante 6 m3</t>
  </si>
  <si>
    <t>EXPANSÃO = 25%</t>
  </si>
  <si>
    <t>FORNECIMENTO E TRANSPORTE DE MATERIAIS BETUMINOSOS</t>
  </si>
  <si>
    <t>TAXA DE APLICAÇÃO</t>
  </si>
  <si>
    <t>l/m2</t>
  </si>
  <si>
    <t>Emulsão asfáltica cationica rr-2c para uso em pavimentação asfáltica  (ANP +  IMPOSTOS) (MG OUT/22)</t>
  </si>
  <si>
    <t>Emulsão asfáltica cationica rr-2c para uso em pavimentação asfáltica (dens. = 1 kg/l)</t>
  </si>
  <si>
    <t>Pintura de ligação</t>
  </si>
  <si>
    <t>t / t de CAUQ</t>
  </si>
  <si>
    <t>SERVIÇO</t>
  </si>
  <si>
    <t>Cimento asfaltico de petroleo a granel CAP 50/70 (dens. =  2,40 t/m3)</t>
  </si>
  <si>
    <t xml:space="preserve">DENSIDADE (ton/m3) </t>
  </si>
  <si>
    <t>MOMENTO DE TRANSPORTE (t.km)</t>
  </si>
  <si>
    <t>Escavação com retro-escavadeira de pneus, de valas, em material de 1ª categoria até 1,50m de profundidade</t>
  </si>
  <si>
    <t>Pintura de meio-fio com tinta branca a base de cal (caiação). af_05/2021</t>
  </si>
  <si>
    <t>ESTACAS</t>
  </si>
  <si>
    <t>a</t>
  </si>
  <si>
    <t>MEMÓRIA DE CÁLCULO - BM 22</t>
  </si>
  <si>
    <t>HIDROSSEMEADURA</t>
  </si>
  <si>
    <t>Comprimento (m)</t>
  </si>
  <si>
    <t>Largura (m)</t>
  </si>
  <si>
    <t>Área (m2)</t>
  </si>
  <si>
    <t>Direito</t>
  </si>
  <si>
    <t>Esquerdo</t>
  </si>
  <si>
    <t>E260+6</t>
  </si>
  <si>
    <t>E266</t>
  </si>
  <si>
    <t>Quantidade (m)</t>
  </si>
  <si>
    <t>TIPO</t>
  </si>
  <si>
    <t xml:space="preserve">DISSIPADORES DE ENERGIA </t>
  </si>
  <si>
    <t>Quantidade (und)</t>
  </si>
  <si>
    <t>OBSERVAÇÕES</t>
  </si>
  <si>
    <t xml:space="preserve">ENTRADA PARA DESCIDA D'ÁGUA </t>
  </si>
  <si>
    <t>DESCIDA D'ÁGUA DE ATERROS</t>
  </si>
  <si>
    <t>E262+15</t>
  </si>
  <si>
    <t>DAD 02</t>
  </si>
  <si>
    <t>EDA 02</t>
  </si>
  <si>
    <t>Quantidade (ud)</t>
  </si>
  <si>
    <t>E276</t>
  </si>
  <si>
    <t>DEB 03</t>
  </si>
  <si>
    <t>01/01/26 à 31/01/26</t>
  </si>
  <si>
    <t>MEMÓRIA DE CÁLCULO - BM 23</t>
  </si>
  <si>
    <t>ROTATÓRIA</t>
  </si>
  <si>
    <t>319 + 13,11</t>
  </si>
  <si>
    <t>288 + 4,11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</si>
</sst>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.##000"/>
    <numFmt numFmtId="165" formatCode="_(* #,##0.00_);_(* \(#,##0.00\);_(* &quot;-&quot;??_);_(@_)"/>
    <numFmt numFmtId="166" formatCode="#,##0.00;\-#,##0.00;"/>
    <numFmt numFmtId="167" formatCode="#,##0.000;\-#,##0.000;"/>
    <numFmt numFmtId="168" formatCode="_-* #,##0.0000_-;\-* #,##0.0000_-;_-* &quot;-&quot;??_-;_-@_-"/>
    <numFmt numFmtId="169" formatCode="&quot;R$&quot;\ #,##0.00"/>
    <numFmt numFmtId="170" formatCode="&quot;R$&quot;\ #,##0.00000000"/>
    <numFmt numFmtId="171" formatCode="0.0000%"/>
    <numFmt numFmtId="172" formatCode="_-* #,##0.00_-;\-* #,##0.00_-;_-* \-??_-;_-@_-"/>
    <numFmt numFmtId="173" formatCode="0.000"/>
    <numFmt numFmtId="174" formatCode="#,##0.0000;\-#,##0.0000;"/>
    <numFmt numFmtId="175" formatCode="#,##0.0000_ ;\-#,##0.0000\ "/>
  </numFmts>
  <fonts count="4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Times New Roman"/>
      <family val="1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rgb="FF000000"/>
      <name val="Times New Roman"/>
      <family val="1"/>
    </font>
    <font>
      <b/>
      <sz val="12"/>
      <color indexed="8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</font>
    <font>
      <sz val="10"/>
      <name val="Arial"/>
      <family val="2"/>
      <charset val="1"/>
    </font>
    <font>
      <sz val="10"/>
      <color rgb="FFFF0000"/>
      <name val="Arial"/>
      <family val="2"/>
    </font>
    <font>
      <sz val="9"/>
      <name val="Arial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2">
    <xf numFmtId="0" fontId="0" fillId="0" borderId="0"/>
    <xf numFmtId="0" fontId="7" fillId="0" borderId="0"/>
    <xf numFmtId="0" fontId="17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26" fillId="0" borderId="0"/>
    <xf numFmtId="43" fontId="26" fillId="0" borderId="0" applyFont="0" applyFill="0" applyBorder="0" applyAlignment="0" applyProtection="0"/>
    <xf numFmtId="0" fontId="27" fillId="0" borderId="0"/>
    <xf numFmtId="0" fontId="25" fillId="0" borderId="0"/>
    <xf numFmtId="44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33" fillId="0" borderId="0"/>
    <xf numFmtId="172" fontId="23" fillId="0" borderId="0" applyBorder="0" applyProtection="0"/>
    <xf numFmtId="0" fontId="3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4" fillId="0" borderId="0"/>
    <xf numFmtId="43" fontId="14" fillId="0" borderId="0" applyFill="0" applyBorder="0" applyAlignment="0" applyProtection="0"/>
    <xf numFmtId="44" fontId="14" fillId="0" borderId="0" applyFill="0" applyBorder="0" applyAlignment="0" applyProtection="0"/>
    <xf numFmtId="0" fontId="35" fillId="0" borderId="0"/>
    <xf numFmtId="0" fontId="1" fillId="0" borderId="0"/>
  </cellStyleXfs>
  <cellXfs count="322">
    <xf numFmtId="0" fontId="0" fillId="0" borderId="0" xfId="0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right" vertical="top"/>
    </xf>
    <xf numFmtId="4" fontId="8" fillId="2" borderId="0" xfId="0" applyNumberFormat="1" applyFont="1" applyFill="1" applyAlignment="1">
      <alignment vertical="top"/>
    </xf>
    <xf numFmtId="4" fontId="12" fillId="2" borderId="0" xfId="0" applyNumberFormat="1" applyFont="1" applyFill="1" applyAlignment="1">
      <alignment vertical="top"/>
    </xf>
    <xf numFmtId="0" fontId="10" fillId="0" borderId="0" xfId="0" applyFont="1"/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4" fontId="9" fillId="0" borderId="6" xfId="0" applyNumberFormat="1" applyFont="1" applyBorder="1" applyAlignment="1">
      <alignment horizontal="right" vertical="top"/>
    </xf>
    <xf numFmtId="164" fontId="13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14" fontId="20" fillId="0" borderId="0" xfId="0" applyNumberFormat="1" applyFont="1" applyAlignment="1">
      <alignment horizontal="right" vertical="top" readingOrder="1"/>
    </xf>
    <xf numFmtId="0" fontId="9" fillId="0" borderId="0" xfId="0" applyFont="1" applyAlignment="1">
      <alignment horizontal="left" vertical="center" readingOrder="1"/>
    </xf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right" vertical="top" wrapText="1"/>
    </xf>
    <xf numFmtId="0" fontId="0" fillId="0" borderId="6" xfId="0" applyBorder="1"/>
    <xf numFmtId="0" fontId="14" fillId="0" borderId="0" xfId="0" applyFont="1" applyAlignment="1">
      <alignment horizontal="left" vertical="top" wrapText="1"/>
    </xf>
    <xf numFmtId="166" fontId="15" fillId="0" borderId="0" xfId="0" applyNumberFormat="1" applyFont="1" applyAlignment="1">
      <alignment horizontal="right" vertical="top" wrapText="1"/>
    </xf>
    <xf numFmtId="0" fontId="15" fillId="0" borderId="6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center" readingOrder="1"/>
    </xf>
    <xf numFmtId="0" fontId="20" fillId="0" borderId="8" xfId="0" applyFont="1" applyBorder="1" applyAlignment="1">
      <alignment horizontal="left" vertical="center" readingOrder="1"/>
    </xf>
    <xf numFmtId="0" fontId="20" fillId="0" borderId="9" xfId="0" applyFont="1" applyBorder="1" applyAlignment="1">
      <alignment horizontal="left" vertical="center" readingOrder="1"/>
    </xf>
    <xf numFmtId="0" fontId="0" fillId="0" borderId="9" xfId="0" applyBorder="1"/>
    <xf numFmtId="2" fontId="0" fillId="0" borderId="0" xfId="0" applyNumberFormat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43" fontId="0" fillId="0" borderId="0" xfId="0" applyNumberFormat="1" applyAlignment="1">
      <alignment horizontal="left" vertical="top"/>
    </xf>
    <xf numFmtId="10" fontId="0" fillId="0" borderId="0" xfId="7" applyNumberFormat="1" applyFont="1" applyAlignment="1">
      <alignment horizontal="left" vertical="top"/>
    </xf>
    <xf numFmtId="168" fontId="0" fillId="0" borderId="0" xfId="0" applyNumberFormat="1" applyAlignment="1">
      <alignment horizontal="left" vertical="top"/>
    </xf>
    <xf numFmtId="0" fontId="15" fillId="2" borderId="14" xfId="0" applyFont="1" applyFill="1" applyBorder="1" applyAlignment="1">
      <alignment vertical="top" wrapText="1"/>
    </xf>
    <xf numFmtId="0" fontId="15" fillId="2" borderId="16" xfId="0" applyFont="1" applyFill="1" applyBorder="1" applyAlignment="1">
      <alignment vertical="top" wrapText="1"/>
    </xf>
    <xf numFmtId="0" fontId="15" fillId="2" borderId="17" xfId="0" applyFont="1" applyFill="1" applyBorder="1" applyAlignment="1">
      <alignment vertical="top" wrapText="1"/>
    </xf>
    <xf numFmtId="43" fontId="0" fillId="0" borderId="0" xfId="6" applyFont="1" applyAlignment="1">
      <alignment horizontal="right" vertical="top"/>
    </xf>
    <xf numFmtId="43" fontId="16" fillId="2" borderId="15" xfId="6" applyFont="1" applyFill="1" applyBorder="1" applyAlignment="1">
      <alignment horizontal="right" vertical="top" shrinkToFit="1"/>
    </xf>
    <xf numFmtId="0" fontId="25" fillId="0" borderId="0" xfId="14" applyAlignment="1">
      <alignment horizontal="left" vertical="top"/>
    </xf>
    <xf numFmtId="169" fontId="25" fillId="0" borderId="0" xfId="14" applyNumberFormat="1" applyAlignment="1">
      <alignment horizontal="left" vertical="top"/>
    </xf>
    <xf numFmtId="0" fontId="24" fillId="0" borderId="0" xfId="0" applyFont="1" applyAlignment="1">
      <alignment vertical="top" readingOrder="1"/>
    </xf>
    <xf numFmtId="0" fontId="21" fillId="0" borderId="0" xfId="0" applyFont="1" applyAlignment="1">
      <alignment vertical="center" readingOrder="1"/>
    </xf>
    <xf numFmtId="0" fontId="20" fillId="0" borderId="1" xfId="0" applyFont="1" applyBorder="1" applyAlignment="1">
      <alignment horizontal="left" vertical="center" readingOrder="1"/>
    </xf>
    <xf numFmtId="0" fontId="9" fillId="0" borderId="1" xfId="0" applyFont="1" applyBorder="1" applyAlignment="1">
      <alignment horizontal="left" vertical="center" readingOrder="1"/>
    </xf>
    <xf numFmtId="0" fontId="30" fillId="7" borderId="1" xfId="14" applyFont="1" applyFill="1" applyBorder="1" applyAlignment="1">
      <alignment horizontal="center" vertical="center" wrapText="1"/>
    </xf>
    <xf numFmtId="169" fontId="31" fillId="7" borderId="1" xfId="15" applyNumberFormat="1" applyFont="1" applyFill="1" applyBorder="1" applyAlignment="1">
      <alignment horizontal="center" vertical="center"/>
    </xf>
    <xf numFmtId="0" fontId="30" fillId="7" borderId="1" xfId="14" applyFont="1" applyFill="1" applyBorder="1" applyAlignment="1">
      <alignment horizontal="center" vertical="center"/>
    </xf>
    <xf numFmtId="169" fontId="30" fillId="7" borderId="1" xfId="14" applyNumberFormat="1" applyFont="1" applyFill="1" applyBorder="1" applyAlignment="1">
      <alignment horizontal="center" vertical="center"/>
    </xf>
    <xf numFmtId="0" fontId="30" fillId="6" borderId="1" xfId="14" applyFont="1" applyFill="1" applyBorder="1" applyAlignment="1">
      <alignment horizontal="center" vertical="center"/>
    </xf>
    <xf numFmtId="169" fontId="30" fillId="6" borderId="1" xfId="14" applyNumberFormat="1" applyFont="1" applyFill="1" applyBorder="1" applyAlignment="1">
      <alignment horizontal="center" vertical="center"/>
    </xf>
    <xf numFmtId="0" fontId="30" fillId="6" borderId="1" xfId="14" applyFont="1" applyFill="1" applyBorder="1" applyAlignment="1">
      <alignment horizontal="center" vertical="center" wrapText="1"/>
    </xf>
    <xf numFmtId="0" fontId="30" fillId="0" borderId="0" xfId="14" applyFont="1" applyAlignment="1">
      <alignment horizontal="center" vertical="center" wrapText="1"/>
    </xf>
    <xf numFmtId="170" fontId="30" fillId="0" borderId="0" xfId="14" applyNumberFormat="1" applyFont="1" applyAlignment="1">
      <alignment horizontal="center" vertical="center"/>
    </xf>
    <xf numFmtId="171" fontId="23" fillId="0" borderId="0" xfId="7" applyNumberFormat="1" applyAlignment="1">
      <alignment horizontal="left" vertical="top"/>
    </xf>
    <xf numFmtId="2" fontId="28" fillId="0" borderId="0" xfId="0" applyNumberFormat="1" applyFont="1" applyAlignment="1">
      <alignment horizontal="left" vertical="top"/>
    </xf>
    <xf numFmtId="0" fontId="28" fillId="0" borderId="0" xfId="0" applyFont="1" applyAlignment="1">
      <alignment horizontal="left" vertical="top"/>
    </xf>
    <xf numFmtId="166" fontId="14" fillId="0" borderId="1" xfId="0" applyNumberFormat="1" applyFont="1" applyBorder="1" applyAlignment="1">
      <alignment horizontal="right" vertical="top" readingOrder="1"/>
    </xf>
    <xf numFmtId="0" fontId="28" fillId="4" borderId="0" xfId="0" applyFont="1" applyFill="1" applyAlignment="1">
      <alignment horizontal="left" vertical="top"/>
    </xf>
    <xf numFmtId="0" fontId="23" fillId="0" borderId="0" xfId="18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top"/>
    </xf>
    <xf numFmtId="10" fontId="8" fillId="2" borderId="0" xfId="0" applyNumberFormat="1" applyFont="1" applyFill="1" applyAlignment="1">
      <alignment horizontal="left" vertical="top"/>
    </xf>
    <xf numFmtId="43" fontId="25" fillId="0" borderId="0" xfId="14" applyNumberFormat="1" applyAlignment="1">
      <alignment horizontal="left" vertical="top"/>
    </xf>
    <xf numFmtId="0" fontId="15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166" fontId="21" fillId="0" borderId="1" xfId="0" applyNumberFormat="1" applyFont="1" applyBorder="1" applyAlignment="1">
      <alignment horizontal="right" vertical="top" readingOrder="1"/>
    </xf>
    <xf numFmtId="0" fontId="14" fillId="0" borderId="1" xfId="0" applyFont="1" applyBorder="1" applyAlignment="1">
      <alignment horizontal="left" vertical="top" wrapText="1"/>
    </xf>
    <xf numFmtId="173" fontId="30" fillId="6" borderId="1" xfId="14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right" vertical="top"/>
    </xf>
    <xf numFmtId="0" fontId="20" fillId="0" borderId="8" xfId="0" applyFont="1" applyBorder="1" applyAlignment="1">
      <alignment horizontal="right" vertical="center" readingOrder="1"/>
    </xf>
    <xf numFmtId="10" fontId="37" fillId="2" borderId="0" xfId="0" applyNumberFormat="1" applyFont="1" applyFill="1" applyAlignment="1">
      <alignment horizontal="left" vertical="top"/>
    </xf>
    <xf numFmtId="43" fontId="28" fillId="0" borderId="0" xfId="0" applyNumberFormat="1" applyFont="1" applyAlignment="1">
      <alignment horizontal="left" vertical="top"/>
    </xf>
    <xf numFmtId="7" fontId="16" fillId="2" borderId="14" xfId="6" applyNumberFormat="1" applyFont="1" applyFill="1" applyBorder="1" applyAlignment="1">
      <alignment horizontal="right" vertical="top" shrinkToFit="1"/>
    </xf>
    <xf numFmtId="7" fontId="16" fillId="2" borderId="16" xfId="6" applyNumberFormat="1" applyFont="1" applyFill="1" applyBorder="1" applyAlignment="1">
      <alignment horizontal="right" vertical="top" shrinkToFit="1"/>
    </xf>
    <xf numFmtId="7" fontId="16" fillId="2" borderId="17" xfId="6" applyNumberFormat="1" applyFont="1" applyFill="1" applyBorder="1" applyAlignment="1">
      <alignment horizontal="right" vertical="top" shrinkToFi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43" fontId="16" fillId="2" borderId="15" xfId="6" applyFont="1" applyFill="1" applyBorder="1" applyAlignment="1">
      <alignment horizontal="center" vertical="top" shrinkToFi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4" fontId="20" fillId="0" borderId="7" xfId="0" applyNumberFormat="1" applyFont="1" applyBorder="1" applyAlignment="1">
      <alignment horizontal="center" vertical="top" readingOrder="1"/>
    </xf>
    <xf numFmtId="0" fontId="0" fillId="0" borderId="10" xfId="0" applyBorder="1" applyAlignment="1">
      <alignment horizontal="center"/>
    </xf>
    <xf numFmtId="7" fontId="8" fillId="2" borderId="0" xfId="0" applyNumberFormat="1" applyFont="1" applyFill="1" applyAlignment="1">
      <alignment horizontal="left" vertical="top"/>
    </xf>
    <xf numFmtId="0" fontId="15" fillId="9" borderId="1" xfId="0" applyFont="1" applyFill="1" applyBorder="1" applyAlignment="1">
      <alignment horizontal="left" vertical="top" wrapText="1"/>
    </xf>
    <xf numFmtId="0" fontId="12" fillId="9" borderId="1" xfId="0" applyFont="1" applyFill="1" applyBorder="1" applyAlignment="1">
      <alignment horizontal="center" vertical="top" wrapText="1"/>
    </xf>
    <xf numFmtId="166" fontId="21" fillId="9" borderId="1" xfId="0" applyNumberFormat="1" applyFont="1" applyFill="1" applyBorder="1" applyAlignment="1">
      <alignment horizontal="right" vertical="top" readingOrder="1"/>
    </xf>
    <xf numFmtId="0" fontId="14" fillId="9" borderId="1" xfId="0" applyFont="1" applyFill="1" applyBorder="1" applyAlignment="1">
      <alignment horizontal="center" vertical="top" wrapText="1"/>
    </xf>
    <xf numFmtId="166" fontId="14" fillId="9" borderId="1" xfId="0" applyNumberFormat="1" applyFont="1" applyFill="1" applyBorder="1" applyAlignment="1">
      <alignment horizontal="right" vertical="top" readingOrder="1"/>
    </xf>
    <xf numFmtId="0" fontId="12" fillId="9" borderId="1" xfId="0" applyFont="1" applyFill="1" applyBorder="1" applyAlignment="1">
      <alignment horizontal="left" vertical="top" wrapText="1"/>
    </xf>
    <xf numFmtId="0" fontId="15" fillId="9" borderId="1" xfId="0" quotePrefix="1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center" vertical="center" wrapText="1"/>
    </xf>
    <xf numFmtId="0" fontId="0" fillId="10" borderId="9" xfId="0" applyFill="1" applyBorder="1"/>
    <xf numFmtId="164" fontId="15" fillId="10" borderId="1" xfId="0" applyNumberFormat="1" applyFont="1" applyFill="1" applyBorder="1" applyAlignment="1">
      <alignment horizontal="center" vertical="center" wrapText="1"/>
    </xf>
    <xf numFmtId="4" fontId="15" fillId="10" borderId="13" xfId="0" applyNumberFormat="1" applyFont="1" applyFill="1" applyBorder="1" applyAlignment="1">
      <alignment horizontal="center" vertical="center"/>
    </xf>
    <xf numFmtId="164" fontId="15" fillId="10" borderId="12" xfId="0" applyNumberFormat="1" applyFont="1" applyFill="1" applyBorder="1" applyAlignment="1">
      <alignment horizontal="center" vertical="center"/>
    </xf>
    <xf numFmtId="43" fontId="15" fillId="10" borderId="12" xfId="6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center" vertical="top" wrapText="1"/>
    </xf>
    <xf numFmtId="166" fontId="21" fillId="8" borderId="1" xfId="0" applyNumberFormat="1" applyFont="1" applyFill="1" applyBorder="1" applyAlignment="1">
      <alignment horizontal="right" vertical="top" readingOrder="1"/>
    </xf>
    <xf numFmtId="0" fontId="14" fillId="8" borderId="1" xfId="0" applyFont="1" applyFill="1" applyBorder="1" applyAlignment="1">
      <alignment horizontal="center" vertical="top" wrapText="1"/>
    </xf>
    <xf numFmtId="166" fontId="14" fillId="8" borderId="1" xfId="0" applyNumberFormat="1" applyFont="1" applyFill="1" applyBorder="1" applyAlignment="1">
      <alignment horizontal="right" vertical="top" readingOrder="1"/>
    </xf>
    <xf numFmtId="0" fontId="16" fillId="8" borderId="1" xfId="0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vertical="top" wrapText="1"/>
    </xf>
    <xf numFmtId="166" fontId="21" fillId="5" borderId="1" xfId="0" applyNumberFormat="1" applyFont="1" applyFill="1" applyBorder="1" applyAlignment="1">
      <alignment horizontal="right" vertical="top" readingOrder="1"/>
    </xf>
    <xf numFmtId="166" fontId="14" fillId="5" borderId="1" xfId="0" applyNumberFormat="1" applyFont="1" applyFill="1" applyBorder="1" applyAlignment="1">
      <alignment horizontal="right" vertical="top" readingOrder="1"/>
    </xf>
    <xf numFmtId="0" fontId="15" fillId="2" borderId="20" xfId="0" applyFont="1" applyFill="1" applyBorder="1" applyAlignment="1">
      <alignment horizontal="center" vertical="top" wrapText="1"/>
    </xf>
    <xf numFmtId="43" fontId="16" fillId="2" borderId="21" xfId="6" applyFont="1" applyFill="1" applyBorder="1" applyAlignment="1">
      <alignment horizontal="center" vertical="top" shrinkToFit="1"/>
    </xf>
    <xf numFmtId="0" fontId="15" fillId="2" borderId="22" xfId="0" applyFont="1" applyFill="1" applyBorder="1" applyAlignment="1">
      <alignment horizontal="center" vertical="top" wrapText="1"/>
    </xf>
    <xf numFmtId="0" fontId="15" fillId="2" borderId="23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vertical="top" wrapText="1"/>
    </xf>
    <xf numFmtId="7" fontId="16" fillId="2" borderId="25" xfId="6" applyNumberFormat="1" applyFont="1" applyFill="1" applyBorder="1" applyAlignment="1">
      <alignment horizontal="right" vertical="top" shrinkToFit="1"/>
    </xf>
    <xf numFmtId="43" fontId="16" fillId="2" borderId="26" xfId="6" applyFont="1" applyFill="1" applyBorder="1" applyAlignment="1">
      <alignment horizontal="center" vertical="top" shrinkToFit="1"/>
    </xf>
    <xf numFmtId="43" fontId="16" fillId="2" borderId="26" xfId="6" applyFont="1" applyFill="1" applyBorder="1" applyAlignment="1">
      <alignment horizontal="right" vertical="top" shrinkToFit="1"/>
    </xf>
    <xf numFmtId="43" fontId="16" fillId="2" borderId="27" xfId="6" applyFont="1" applyFill="1" applyBorder="1" applyAlignment="1">
      <alignment horizontal="center" vertical="top" shrinkToFi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 wrapText="1"/>
    </xf>
    <xf numFmtId="164" fontId="15" fillId="9" borderId="1" xfId="0" applyNumberFormat="1" applyFont="1" applyFill="1" applyBorder="1" applyAlignment="1">
      <alignment horizontal="center" vertical="center"/>
    </xf>
    <xf numFmtId="164" fontId="15" fillId="9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left"/>
    </xf>
    <xf numFmtId="0" fontId="15" fillId="11" borderId="1" xfId="0" applyFont="1" applyFill="1" applyBorder="1" applyAlignment="1">
      <alignment vertical="top" wrapText="1"/>
    </xf>
    <xf numFmtId="7" fontId="15" fillId="11" borderId="1" xfId="6" applyNumberFormat="1" applyFont="1" applyFill="1" applyBorder="1" applyAlignment="1">
      <alignment vertical="top" wrapText="1"/>
    </xf>
    <xf numFmtId="43" fontId="15" fillId="11" borderId="1" xfId="6" applyFont="1" applyFill="1" applyBorder="1" applyAlignment="1">
      <alignment horizontal="center" vertical="top" wrapText="1"/>
    </xf>
    <xf numFmtId="43" fontId="15" fillId="11" borderId="1" xfId="6" applyFont="1" applyFill="1" applyBorder="1" applyAlignment="1">
      <alignment vertical="top" wrapText="1"/>
    </xf>
    <xf numFmtId="7" fontId="0" fillId="2" borderId="0" xfId="0" applyNumberFormat="1" applyFill="1" applyAlignment="1">
      <alignment horizontal="left" vertical="top"/>
    </xf>
    <xf numFmtId="7" fontId="15" fillId="2" borderId="17" xfId="6" applyNumberFormat="1" applyFont="1" applyFill="1" applyBorder="1" applyAlignment="1">
      <alignment horizontal="right" vertical="top" shrinkToFi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 vertical="center"/>
    </xf>
    <xf numFmtId="166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4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vertical="center" readingOrder="1"/>
    </xf>
    <xf numFmtId="166" fontId="21" fillId="0" borderId="1" xfId="0" applyNumberFormat="1" applyFont="1" applyBorder="1" applyAlignment="1">
      <alignment horizontal="center" vertical="top" readingOrder="1"/>
    </xf>
    <xf numFmtId="166" fontId="14" fillId="0" borderId="1" xfId="0" applyNumberFormat="1" applyFont="1" applyBorder="1" applyAlignment="1">
      <alignment horizontal="center" vertical="top" readingOrder="1"/>
    </xf>
    <xf numFmtId="7" fontId="15" fillId="10" borderId="12" xfId="6" applyNumberFormat="1" applyFont="1" applyFill="1" applyBorder="1" applyAlignment="1">
      <alignment horizontal="center" vertical="center"/>
    </xf>
    <xf numFmtId="169" fontId="12" fillId="9" borderId="1" xfId="0" applyNumberFormat="1" applyFont="1" applyFill="1" applyBorder="1" applyAlignment="1">
      <alignment horizontal="center" vertical="top" wrapText="1"/>
    </xf>
    <xf numFmtId="169" fontId="12" fillId="8" borderId="1" xfId="0" applyNumberFormat="1" applyFont="1" applyFill="1" applyBorder="1" applyAlignment="1">
      <alignment horizontal="center" vertical="top" wrapText="1"/>
    </xf>
    <xf numFmtId="169" fontId="12" fillId="2" borderId="1" xfId="0" applyNumberFormat="1" applyFont="1" applyFill="1" applyBorder="1" applyAlignment="1">
      <alignment horizontal="center" vertical="top" shrinkToFit="1"/>
    </xf>
    <xf numFmtId="169" fontId="14" fillId="2" borderId="1" xfId="0" applyNumberFormat="1" applyFont="1" applyFill="1" applyBorder="1" applyAlignment="1">
      <alignment horizontal="center" vertical="top" shrinkToFit="1"/>
    </xf>
    <xf numFmtId="169" fontId="14" fillId="9" borderId="1" xfId="0" applyNumberFormat="1" applyFont="1" applyFill="1" applyBorder="1" applyAlignment="1">
      <alignment horizontal="center" vertical="top" wrapText="1"/>
    </xf>
    <xf numFmtId="169" fontId="14" fillId="8" borderId="1" xfId="0" applyNumberFormat="1" applyFont="1" applyFill="1" applyBorder="1" applyAlignment="1">
      <alignment horizontal="center" vertical="top" wrapText="1"/>
    </xf>
    <xf numFmtId="169" fontId="12" fillId="5" borderId="1" xfId="0" applyNumberFormat="1" applyFont="1" applyFill="1" applyBorder="1" applyAlignment="1">
      <alignment horizontal="center" vertical="top" wrapText="1"/>
    </xf>
    <xf numFmtId="169" fontId="14" fillId="5" borderId="1" xfId="0" applyNumberFormat="1" applyFont="1" applyFill="1" applyBorder="1" applyAlignment="1">
      <alignment horizontal="center" vertical="top" wrapText="1"/>
    </xf>
    <xf numFmtId="169" fontId="16" fillId="9" borderId="1" xfId="6" applyNumberFormat="1" applyFont="1" applyFill="1" applyBorder="1" applyAlignment="1">
      <alignment horizontal="center" vertical="top" shrinkToFit="1"/>
    </xf>
    <xf numFmtId="169" fontId="16" fillId="8" borderId="1" xfId="6" applyNumberFormat="1" applyFont="1" applyFill="1" applyBorder="1" applyAlignment="1">
      <alignment horizontal="center" vertical="top" shrinkToFit="1"/>
    </xf>
    <xf numFmtId="169" fontId="12" fillId="2" borderId="1" xfId="6" applyNumberFormat="1" applyFont="1" applyFill="1" applyBorder="1" applyAlignment="1">
      <alignment horizontal="center" vertical="top" shrinkToFit="1"/>
    </xf>
    <xf numFmtId="169" fontId="14" fillId="2" borderId="1" xfId="6" applyNumberFormat="1" applyFont="1" applyFill="1" applyBorder="1" applyAlignment="1">
      <alignment horizontal="center" vertical="top" shrinkToFit="1"/>
    </xf>
    <xf numFmtId="169" fontId="16" fillId="8" borderId="1" xfId="0" applyNumberFormat="1" applyFont="1" applyFill="1" applyBorder="1" applyAlignment="1">
      <alignment horizontal="center" vertical="top" shrinkToFit="1"/>
    </xf>
    <xf numFmtId="169" fontId="15" fillId="9" borderId="1" xfId="6" applyNumberFormat="1" applyFont="1" applyFill="1" applyBorder="1" applyAlignment="1">
      <alignment horizontal="center" vertical="top" shrinkToFit="1"/>
    </xf>
    <xf numFmtId="169" fontId="15" fillId="8" borderId="1" xfId="6" applyNumberFormat="1" applyFont="1" applyFill="1" applyBorder="1" applyAlignment="1">
      <alignment horizontal="center" vertical="top" shrinkToFit="1"/>
    </xf>
    <xf numFmtId="169" fontId="15" fillId="8" borderId="1" xfId="0" applyNumberFormat="1" applyFont="1" applyFill="1" applyBorder="1" applyAlignment="1">
      <alignment horizontal="center" vertical="top" shrinkToFit="1"/>
    </xf>
    <xf numFmtId="169" fontId="16" fillId="9" borderId="1" xfId="0" applyNumberFormat="1" applyFont="1" applyFill="1" applyBorder="1" applyAlignment="1">
      <alignment horizontal="center" vertical="top" shrinkToFit="1"/>
    </xf>
    <xf numFmtId="169" fontId="16" fillId="5" borderId="1" xfId="0" applyNumberFormat="1" applyFont="1" applyFill="1" applyBorder="1" applyAlignment="1">
      <alignment horizontal="center" vertical="top" shrinkToFit="1"/>
    </xf>
    <xf numFmtId="169" fontId="16" fillId="5" borderId="1" xfId="6" applyNumberFormat="1" applyFont="1" applyFill="1" applyBorder="1" applyAlignment="1">
      <alignment horizontal="center" vertical="top" shrinkToFit="1"/>
    </xf>
    <xf numFmtId="169" fontId="15" fillId="5" borderId="1" xfId="6" applyNumberFormat="1" applyFont="1" applyFill="1" applyBorder="1" applyAlignment="1">
      <alignment horizontal="center" vertical="top" shrinkToFit="1"/>
    </xf>
    <xf numFmtId="7" fontId="15" fillId="11" borderId="1" xfId="6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166" fontId="21" fillId="8" borderId="1" xfId="0" applyNumberFormat="1" applyFont="1" applyFill="1" applyBorder="1" applyAlignment="1">
      <alignment horizontal="center" vertical="top" readingOrder="1"/>
    </xf>
    <xf numFmtId="166" fontId="14" fillId="9" borderId="1" xfId="0" applyNumberFormat="1" applyFont="1" applyFill="1" applyBorder="1" applyAlignment="1">
      <alignment horizontal="center" vertical="top" readingOrder="1"/>
    </xf>
    <xf numFmtId="166" fontId="14" fillId="8" borderId="1" xfId="0" applyNumberFormat="1" applyFont="1" applyFill="1" applyBorder="1" applyAlignment="1">
      <alignment horizontal="center" vertical="top" readingOrder="1"/>
    </xf>
    <xf numFmtId="166" fontId="21" fillId="9" borderId="1" xfId="0" applyNumberFormat="1" applyFont="1" applyFill="1" applyBorder="1" applyAlignment="1">
      <alignment horizontal="center" vertical="top" readingOrder="1"/>
    </xf>
    <xf numFmtId="166" fontId="21" fillId="5" borderId="1" xfId="0" applyNumberFormat="1" applyFont="1" applyFill="1" applyBorder="1" applyAlignment="1">
      <alignment horizontal="center" vertical="top" readingOrder="1"/>
    </xf>
    <xf numFmtId="166" fontId="14" fillId="5" borderId="1" xfId="0" applyNumberFormat="1" applyFont="1" applyFill="1" applyBorder="1" applyAlignment="1">
      <alignment horizontal="center" vertical="top" readingOrder="1"/>
    </xf>
    <xf numFmtId="0" fontId="20" fillId="0" borderId="9" xfId="0" applyFont="1" applyBorder="1" applyAlignment="1">
      <alignment horizontal="center" vertical="center" readingOrder="1"/>
    </xf>
    <xf numFmtId="167" fontId="21" fillId="8" borderId="1" xfId="0" applyNumberFormat="1" applyFont="1" applyFill="1" applyBorder="1" applyAlignment="1">
      <alignment horizontal="center" vertical="top" readingOrder="1"/>
    </xf>
    <xf numFmtId="167" fontId="21" fillId="0" borderId="1" xfId="0" applyNumberFormat="1" applyFont="1" applyBorder="1" applyAlignment="1">
      <alignment horizontal="center" vertical="top" readingOrder="1"/>
    </xf>
    <xf numFmtId="167" fontId="14" fillId="9" borderId="1" xfId="0" applyNumberFormat="1" applyFont="1" applyFill="1" applyBorder="1" applyAlignment="1">
      <alignment horizontal="center" vertical="top" readingOrder="1"/>
    </xf>
    <xf numFmtId="167" fontId="14" fillId="8" borderId="1" xfId="0" applyNumberFormat="1" applyFont="1" applyFill="1" applyBorder="1" applyAlignment="1">
      <alignment horizontal="center" vertical="top" readingOrder="1"/>
    </xf>
    <xf numFmtId="167" fontId="14" fillId="0" borderId="1" xfId="0" applyNumberFormat="1" applyFont="1" applyBorder="1" applyAlignment="1">
      <alignment horizontal="center" vertical="top" readingOrder="1"/>
    </xf>
    <xf numFmtId="167" fontId="21" fillId="9" borderId="1" xfId="0" applyNumberFormat="1" applyFont="1" applyFill="1" applyBorder="1" applyAlignment="1">
      <alignment horizontal="center" vertical="top" readingOrder="1"/>
    </xf>
    <xf numFmtId="167" fontId="21" fillId="5" borderId="1" xfId="0" applyNumberFormat="1" applyFont="1" applyFill="1" applyBorder="1" applyAlignment="1">
      <alignment horizontal="center" vertical="top" readingOrder="1"/>
    </xf>
    <xf numFmtId="167" fontId="10" fillId="0" borderId="1" xfId="0" applyNumberFormat="1" applyFont="1" applyBorder="1" applyAlignment="1">
      <alignment horizontal="center" vertical="top" readingOrder="1"/>
    </xf>
    <xf numFmtId="167" fontId="36" fillId="0" borderId="1" xfId="0" applyNumberFormat="1" applyFont="1" applyBorder="1" applyAlignment="1">
      <alignment horizontal="center" vertical="top" readingOrder="1"/>
    </xf>
    <xf numFmtId="167" fontId="14" fillId="5" borderId="1" xfId="0" applyNumberFormat="1" applyFont="1" applyFill="1" applyBorder="1" applyAlignment="1">
      <alignment horizontal="center" vertical="top" readingOrder="1"/>
    </xf>
    <xf numFmtId="174" fontId="14" fillId="0" borderId="1" xfId="0" applyNumberFormat="1" applyFont="1" applyBorder="1" applyAlignment="1">
      <alignment horizontal="center" vertical="top" readingOrder="1"/>
    </xf>
    <xf numFmtId="174" fontId="21" fillId="0" borderId="1" xfId="0" applyNumberFormat="1" applyFont="1" applyBorder="1" applyAlignment="1">
      <alignment horizontal="center" vertical="top" readingOrder="1"/>
    </xf>
    <xf numFmtId="43" fontId="14" fillId="0" borderId="1" xfId="6" applyFont="1" applyBorder="1" applyAlignment="1">
      <alignment horizontal="center" vertical="top" readingOrder="1"/>
    </xf>
    <xf numFmtId="43" fontId="21" fillId="0" borderId="1" xfId="6" applyFont="1" applyBorder="1" applyAlignment="1">
      <alignment horizontal="center" vertical="top" readingOrder="1"/>
    </xf>
    <xf numFmtId="4" fontId="16" fillId="9" borderId="1" xfId="0" applyNumberFormat="1" applyFont="1" applyFill="1" applyBorder="1" applyAlignment="1">
      <alignment horizontal="center" vertical="top" shrinkToFit="1"/>
    </xf>
    <xf numFmtId="2" fontId="12" fillId="9" borderId="1" xfId="0" applyNumberFormat="1" applyFont="1" applyFill="1" applyBorder="1" applyAlignment="1">
      <alignment horizontal="center" vertical="top" shrinkToFit="1"/>
    </xf>
    <xf numFmtId="4" fontId="16" fillId="8" borderId="1" xfId="0" applyNumberFormat="1" applyFont="1" applyFill="1" applyBorder="1" applyAlignment="1">
      <alignment horizontal="center" vertical="top" shrinkToFit="1"/>
    </xf>
    <xf numFmtId="2" fontId="12" fillId="8" borderId="1" xfId="0" applyNumberFormat="1" applyFont="1" applyFill="1" applyBorder="1" applyAlignment="1">
      <alignment horizontal="center" vertical="top" shrinkToFit="1"/>
    </xf>
    <xf numFmtId="43" fontId="12" fillId="2" borderId="1" xfId="6" applyFont="1" applyFill="1" applyBorder="1" applyAlignment="1">
      <alignment horizontal="center" vertical="top" shrinkToFit="1"/>
    </xf>
    <xf numFmtId="2" fontId="12" fillId="2" borderId="1" xfId="0" applyNumberFormat="1" applyFont="1" applyFill="1" applyBorder="1" applyAlignment="1">
      <alignment horizontal="center" vertical="top" shrinkToFit="1"/>
    </xf>
    <xf numFmtId="43" fontId="16" fillId="8" borderId="1" xfId="6" applyFont="1" applyFill="1" applyBorder="1" applyAlignment="1">
      <alignment horizontal="center" vertical="top" shrinkToFit="1"/>
    </xf>
    <xf numFmtId="43" fontId="14" fillId="2" borderId="1" xfId="6" applyFont="1" applyFill="1" applyBorder="1" applyAlignment="1">
      <alignment horizontal="center" vertical="top" shrinkToFit="1"/>
    </xf>
    <xf numFmtId="2" fontId="14" fillId="2" borderId="1" xfId="0" applyNumberFormat="1" applyFont="1" applyFill="1" applyBorder="1" applyAlignment="1">
      <alignment horizontal="center" vertical="top" shrinkToFit="1"/>
    </xf>
    <xf numFmtId="43" fontId="15" fillId="9" borderId="1" xfId="6" applyFont="1" applyFill="1" applyBorder="1" applyAlignment="1">
      <alignment horizontal="center" vertical="top" shrinkToFit="1"/>
    </xf>
    <xf numFmtId="2" fontId="14" fillId="9" borderId="1" xfId="0" applyNumberFormat="1" applyFont="1" applyFill="1" applyBorder="1" applyAlignment="1">
      <alignment horizontal="center" vertical="top" shrinkToFit="1"/>
    </xf>
    <xf numFmtId="43" fontId="15" fillId="8" borderId="1" xfId="6" applyFont="1" applyFill="1" applyBorder="1" applyAlignment="1">
      <alignment horizontal="center" vertical="top" shrinkToFit="1"/>
    </xf>
    <xf numFmtId="2" fontId="14" fillId="8" borderId="1" xfId="0" applyNumberFormat="1" applyFont="1" applyFill="1" applyBorder="1" applyAlignment="1">
      <alignment horizontal="center" vertical="top" shrinkToFit="1"/>
    </xf>
    <xf numFmtId="4" fontId="15" fillId="8" borderId="1" xfId="0" applyNumberFormat="1" applyFont="1" applyFill="1" applyBorder="1" applyAlignment="1">
      <alignment horizontal="center" vertical="top" shrinkToFit="1"/>
    </xf>
    <xf numFmtId="43" fontId="16" fillId="9" borderId="1" xfId="6" applyFont="1" applyFill="1" applyBorder="1" applyAlignment="1">
      <alignment horizontal="center" vertical="top" shrinkToFit="1"/>
    </xf>
    <xf numFmtId="43" fontId="16" fillId="5" borderId="1" xfId="6" applyFont="1" applyFill="1" applyBorder="1" applyAlignment="1">
      <alignment horizontal="center" vertical="top" shrinkToFit="1"/>
    </xf>
    <xf numFmtId="2" fontId="12" fillId="5" borderId="1" xfId="0" applyNumberFormat="1" applyFont="1" applyFill="1" applyBorder="1" applyAlignment="1">
      <alignment horizontal="center" vertical="top" shrinkToFit="1"/>
    </xf>
    <xf numFmtId="43" fontId="15" fillId="5" borderId="1" xfId="6" applyFont="1" applyFill="1" applyBorder="1" applyAlignment="1">
      <alignment horizontal="center" vertical="top" shrinkToFit="1"/>
    </xf>
    <xf numFmtId="2" fontId="14" fillId="5" borderId="1" xfId="0" applyNumberFormat="1" applyFont="1" applyFill="1" applyBorder="1" applyAlignment="1">
      <alignment horizontal="center" vertical="top" shrinkToFit="1"/>
    </xf>
    <xf numFmtId="2" fontId="16" fillId="9" borderId="1" xfId="6" applyNumberFormat="1" applyFont="1" applyFill="1" applyBorder="1" applyAlignment="1">
      <alignment horizontal="center" vertical="top" shrinkToFit="1"/>
    </xf>
    <xf numFmtId="2" fontId="16" fillId="8" borderId="1" xfId="6" applyNumberFormat="1" applyFont="1" applyFill="1" applyBorder="1" applyAlignment="1">
      <alignment horizontal="center" vertical="top" shrinkToFit="1"/>
    </xf>
    <xf numFmtId="2" fontId="14" fillId="2" borderId="1" xfId="6" applyNumberFormat="1" applyFont="1" applyFill="1" applyBorder="1" applyAlignment="1">
      <alignment horizontal="center" vertical="top" shrinkToFit="1"/>
    </xf>
    <xf numFmtId="2" fontId="12" fillId="2" borderId="1" xfId="6" applyNumberFormat="1" applyFont="1" applyFill="1" applyBorder="1" applyAlignment="1">
      <alignment horizontal="center" vertical="top" shrinkToFit="1"/>
    </xf>
    <xf numFmtId="2" fontId="15" fillId="11" borderId="1" xfId="6" applyNumberFormat="1" applyFont="1" applyFill="1" applyBorder="1" applyAlignment="1">
      <alignment horizontal="center" vertical="top"/>
    </xf>
    <xf numFmtId="43" fontId="15" fillId="11" borderId="1" xfId="6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top" wrapText="1"/>
    </xf>
    <xf numFmtId="175" fontId="30" fillId="6" borderId="1" xfId="6" applyNumberFormat="1" applyFont="1" applyFill="1" applyBorder="1" applyAlignment="1">
      <alignment horizontal="center" vertical="center"/>
    </xf>
    <xf numFmtId="166" fontId="15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readingOrder="1"/>
    </xf>
    <xf numFmtId="167" fontId="21" fillId="0" borderId="1" xfId="0" applyNumberFormat="1" applyFont="1" applyBorder="1" applyAlignment="1">
      <alignment horizontal="center" vertical="center" readingOrder="1"/>
    </xf>
    <xf numFmtId="166" fontId="21" fillId="0" borderId="1" xfId="0" applyNumberFormat="1" applyFont="1" applyBorder="1" applyAlignment="1">
      <alignment horizontal="right" vertical="center" readingOrder="1"/>
    </xf>
    <xf numFmtId="169" fontId="12" fillId="2" borderId="1" xfId="0" applyNumberFormat="1" applyFont="1" applyFill="1" applyBorder="1" applyAlignment="1">
      <alignment horizontal="center" vertical="center" shrinkToFit="1"/>
    </xf>
    <xf numFmtId="169" fontId="12" fillId="2" borderId="1" xfId="6" applyNumberFormat="1" applyFont="1" applyFill="1" applyBorder="1" applyAlignment="1">
      <alignment horizontal="center" vertical="center" shrinkToFit="1"/>
    </xf>
    <xf numFmtId="43" fontId="12" fillId="2" borderId="1" xfId="6" applyFont="1" applyFill="1" applyBorder="1" applyAlignment="1">
      <alignment horizontal="center" vertical="center" shrinkToFit="1"/>
    </xf>
    <xf numFmtId="2" fontId="12" fillId="2" borderId="1" xfId="0" applyNumberFormat="1" applyFont="1" applyFill="1" applyBorder="1" applyAlignment="1">
      <alignment horizontal="center" vertical="center" shrinkToFit="1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0" fontId="8" fillId="2" borderId="0" xfId="0" applyNumberFormat="1" applyFont="1" applyFill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38" fillId="0" borderId="0" xfId="0" applyFont="1" applyAlignment="1">
      <alignment horizontal="center" vertical="top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top"/>
    </xf>
    <xf numFmtId="0" fontId="16" fillId="8" borderId="1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vertical="top"/>
    </xf>
    <xf numFmtId="0" fontId="12" fillId="12" borderId="11" xfId="0" applyFont="1" applyFill="1" applyBorder="1" applyAlignment="1">
      <alignment vertical="top"/>
    </xf>
    <xf numFmtId="4" fontId="12" fillId="12" borderId="11" xfId="0" applyNumberFormat="1" applyFont="1" applyFill="1" applyBorder="1" applyAlignment="1">
      <alignment horizontal="center" vertical="top"/>
    </xf>
    <xf numFmtId="0" fontId="12" fillId="12" borderId="11" xfId="0" applyFont="1" applyFill="1" applyBorder="1" applyAlignment="1">
      <alignment horizontal="center" vertical="top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173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1" fillId="8" borderId="1" xfId="18" applyFont="1" applyFill="1" applyBorder="1" applyAlignment="1">
      <alignment horizontal="center" vertical="center"/>
    </xf>
    <xf numFmtId="2" fontId="42" fillId="0" borderId="28" xfId="18" applyNumberFormat="1" applyFont="1" applyBorder="1" applyAlignment="1">
      <alignment horizontal="center" vertical="top" wrapText="1"/>
    </xf>
    <xf numFmtId="0" fontId="42" fillId="0" borderId="28" xfId="18" applyFont="1" applyBorder="1" applyAlignment="1">
      <alignment horizontal="center" vertical="top" wrapText="1"/>
    </xf>
    <xf numFmtId="2" fontId="43" fillId="0" borderId="28" xfId="18" applyNumberFormat="1" applyFont="1" applyBorder="1" applyAlignment="1">
      <alignment horizontal="center" wrapText="1"/>
    </xf>
    <xf numFmtId="0" fontId="43" fillId="0" borderId="28" xfId="18" applyFont="1" applyBorder="1" applyAlignment="1">
      <alignment horizontal="center" wrapText="1"/>
    </xf>
    <xf numFmtId="4" fontId="41" fillId="8" borderId="1" xfId="18" applyNumberFormat="1" applyFont="1" applyFill="1" applyBorder="1" applyAlignment="1">
      <alignment horizontal="center" vertical="center"/>
    </xf>
    <xf numFmtId="2" fontId="43" fillId="0" borderId="29" xfId="18" applyNumberFormat="1" applyFont="1" applyBorder="1" applyAlignment="1">
      <alignment horizontal="center" wrapText="1"/>
    </xf>
    <xf numFmtId="2" fontId="42" fillId="0" borderId="30" xfId="18" applyNumberFormat="1" applyFont="1" applyBorder="1" applyAlignment="1">
      <alignment horizontal="center" vertical="top" wrapText="1"/>
    </xf>
    <xf numFmtId="0" fontId="42" fillId="0" borderId="30" xfId="18" applyFont="1" applyBorder="1" applyAlignment="1">
      <alignment horizontal="center" vertical="top" wrapText="1"/>
    </xf>
    <xf numFmtId="2" fontId="43" fillId="0" borderId="30" xfId="18" applyNumberFormat="1" applyFont="1" applyBorder="1" applyAlignment="1">
      <alignment horizontal="center" wrapText="1"/>
    </xf>
    <xf numFmtId="0" fontId="43" fillId="0" borderId="30" xfId="18" applyFont="1" applyBorder="1" applyAlignment="1">
      <alignment horizontal="center" wrapText="1"/>
    </xf>
    <xf numFmtId="2" fontId="41" fillId="8" borderId="1" xfId="6" applyNumberFormat="1" applyFont="1" applyFill="1" applyBorder="1" applyAlignment="1">
      <alignment horizontal="center" vertical="center"/>
    </xf>
    <xf numFmtId="2" fontId="43" fillId="0" borderId="1" xfId="18" applyNumberFormat="1" applyFont="1" applyBorder="1" applyAlignment="1">
      <alignment horizontal="center" vertical="top"/>
    </xf>
    <xf numFmtId="0" fontId="44" fillId="0" borderId="28" xfId="18" applyFont="1" applyBorder="1" applyAlignment="1">
      <alignment horizontal="center" vertical="center" wrapText="1"/>
    </xf>
    <xf numFmtId="0" fontId="43" fillId="0" borderId="1" xfId="18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7" fontId="14" fillId="0" borderId="1" xfId="0" applyNumberFormat="1" applyFont="1" applyBorder="1" applyAlignment="1">
      <alignment horizontal="center" vertical="center" readingOrder="1"/>
    </xf>
    <xf numFmtId="166" fontId="14" fillId="0" borderId="1" xfId="0" applyNumberFormat="1" applyFont="1" applyBorder="1" applyAlignment="1">
      <alignment horizontal="center" vertical="center" readingOrder="1"/>
    </xf>
    <xf numFmtId="0" fontId="19" fillId="3" borderId="13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2" fillId="4" borderId="13" xfId="0" applyFont="1" applyFill="1" applyBorder="1" applyAlignment="1">
      <alignment horizontal="center" vertical="top" readingOrder="1"/>
    </xf>
    <xf numFmtId="0" fontId="22" fillId="4" borderId="11" xfId="0" applyFont="1" applyFill="1" applyBorder="1" applyAlignment="1">
      <alignment horizontal="center" vertical="top" readingOrder="1"/>
    </xf>
    <xf numFmtId="0" fontId="22" fillId="4" borderId="12" xfId="0" applyFont="1" applyFill="1" applyBorder="1" applyAlignment="1">
      <alignment horizontal="center" vertical="top" readingOrder="1"/>
    </xf>
    <xf numFmtId="0" fontId="16" fillId="10" borderId="13" xfId="0" applyFont="1" applyFill="1" applyBorder="1" applyAlignment="1">
      <alignment horizontal="center"/>
    </xf>
    <xf numFmtId="0" fontId="16" fillId="10" borderId="11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11" borderId="13" xfId="0" applyFont="1" applyFill="1" applyBorder="1" applyAlignment="1">
      <alignment horizontal="left" vertical="top" wrapText="1"/>
    </xf>
    <xf numFmtId="0" fontId="15" fillId="11" borderId="11" xfId="0" applyFont="1" applyFill="1" applyBorder="1" applyAlignment="1">
      <alignment horizontal="left" vertical="top" wrapText="1"/>
    </xf>
    <xf numFmtId="0" fontId="15" fillId="11" borderId="12" xfId="0" applyFont="1" applyFill="1" applyBorder="1" applyAlignment="1">
      <alignment horizontal="left" vertical="top" wrapText="1"/>
    </xf>
    <xf numFmtId="0" fontId="14" fillId="11" borderId="13" xfId="0" applyFont="1" applyFill="1" applyBorder="1" applyAlignment="1">
      <alignment horizontal="center"/>
    </xf>
    <xf numFmtId="0" fontId="14" fillId="11" borderId="12" xfId="0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 vertical="center" readingOrder="1"/>
    </xf>
    <xf numFmtId="164" fontId="15" fillId="10" borderId="1" xfId="0" applyNumberFormat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/>
    </xf>
    <xf numFmtId="0" fontId="38" fillId="4" borderId="0" xfId="0" applyFont="1" applyFill="1" applyAlignment="1">
      <alignment horizontal="center" vertical="top"/>
    </xf>
    <xf numFmtId="0" fontId="39" fillId="11" borderId="1" xfId="0" applyFont="1" applyFill="1" applyBorder="1" applyAlignment="1">
      <alignment horizontal="center" vertical="top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top"/>
    </xf>
    <xf numFmtId="0" fontId="16" fillId="8" borderId="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32" fillId="5" borderId="13" xfId="18" applyFont="1" applyFill="1" applyBorder="1" applyAlignment="1">
      <alignment horizontal="left" vertical="center"/>
    </xf>
    <xf numFmtId="0" fontId="32" fillId="5" borderId="11" xfId="18" applyFont="1" applyFill="1" applyBorder="1" applyAlignment="1">
      <alignment horizontal="left" vertical="center"/>
    </xf>
    <xf numFmtId="0" fontId="32" fillId="5" borderId="12" xfId="18" applyFont="1" applyFill="1" applyBorder="1" applyAlignment="1">
      <alignment horizontal="left" vertical="center"/>
    </xf>
    <xf numFmtId="0" fontId="41" fillId="8" borderId="1" xfId="18" applyFont="1" applyFill="1" applyBorder="1" applyAlignment="1">
      <alignment horizontal="center" vertical="center"/>
    </xf>
    <xf numFmtId="0" fontId="43" fillId="0" borderId="13" xfId="18" applyFont="1" applyBorder="1" applyAlignment="1">
      <alignment horizontal="center" vertical="top"/>
    </xf>
    <xf numFmtId="0" fontId="43" fillId="0" borderId="11" xfId="18" applyFont="1" applyBorder="1" applyAlignment="1">
      <alignment horizontal="center" vertical="top"/>
    </xf>
    <xf numFmtId="0" fontId="43" fillId="0" borderId="12" xfId="18" applyFont="1" applyBorder="1" applyAlignment="1">
      <alignment horizontal="center" vertical="top"/>
    </xf>
    <xf numFmtId="0" fontId="40" fillId="4" borderId="1" xfId="18" applyFont="1" applyFill="1" applyBorder="1" applyAlignment="1">
      <alignment horizontal="center"/>
    </xf>
    <xf numFmtId="0" fontId="32" fillId="13" borderId="13" xfId="18" applyFont="1" applyFill="1" applyBorder="1" applyAlignment="1">
      <alignment horizontal="center" vertical="center"/>
    </xf>
    <xf numFmtId="0" fontId="32" fillId="13" borderId="11" xfId="18" applyFont="1" applyFill="1" applyBorder="1" applyAlignment="1">
      <alignment horizontal="center" vertical="center"/>
    </xf>
    <xf numFmtId="0" fontId="32" fillId="13" borderId="12" xfId="18" applyFont="1" applyFill="1" applyBorder="1" applyAlignment="1">
      <alignment horizontal="center" vertical="center"/>
    </xf>
    <xf numFmtId="0" fontId="41" fillId="8" borderId="31" xfId="18" applyFont="1" applyFill="1" applyBorder="1" applyAlignment="1">
      <alignment horizontal="center" vertical="center"/>
    </xf>
    <xf numFmtId="0" fontId="41" fillId="8" borderId="32" xfId="18" applyFont="1" applyFill="1" applyBorder="1" applyAlignment="1">
      <alignment horizontal="center" vertical="center"/>
    </xf>
    <xf numFmtId="0" fontId="41" fillId="8" borderId="13" xfId="18" applyFont="1" applyFill="1" applyBorder="1" applyAlignment="1">
      <alignment horizontal="center" vertical="center"/>
    </xf>
    <xf numFmtId="0" fontId="41" fillId="8" borderId="11" xfId="18" applyFont="1" applyFill="1" applyBorder="1" applyAlignment="1">
      <alignment horizontal="center" vertical="center"/>
    </xf>
    <xf numFmtId="0" fontId="41" fillId="8" borderId="12" xfId="18" applyFont="1" applyFill="1" applyBorder="1" applyAlignment="1">
      <alignment horizontal="center" vertical="center"/>
    </xf>
    <xf numFmtId="0" fontId="29" fillId="9" borderId="1" xfId="1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top" readingOrder="1"/>
    </xf>
  </cellXfs>
  <cellStyles count="32">
    <cellStyle name="Moeda 2" xfId="15" xr:uid="{97591310-B3EB-473F-B758-EDE10BEF5D58}"/>
    <cellStyle name="Moeda 3" xfId="26" xr:uid="{5CDB2B58-CE4B-4FB2-B663-2EAAF5BB4979}"/>
    <cellStyle name="Moeda 4" xfId="29" xr:uid="{FB6D7F89-5AC8-4B8C-AF5C-4BD360148D24}"/>
    <cellStyle name="Normal" xfId="0" builtinId="0"/>
    <cellStyle name="Normal 2" xfId="1" xr:uid="{204BF052-2A07-4CBF-AD92-138E3DAE3260}"/>
    <cellStyle name="Normal 2 2" xfId="2" xr:uid="{A745A24A-D40B-4FA7-A57E-311D500D2F57}"/>
    <cellStyle name="Normal 2 3" xfId="30" xr:uid="{5C75659D-91A3-46D8-9D26-239EF1493D18}"/>
    <cellStyle name="Normal 2 3 2" xfId="13" xr:uid="{9E5E5A49-88A6-4D30-84F2-ABF56D6F7D4E}"/>
    <cellStyle name="Normal 3" xfId="8" xr:uid="{B43A7769-03B3-4EC7-BB09-3A4D08260946}"/>
    <cellStyle name="Normal 3 3" xfId="18" xr:uid="{C5410D75-E258-4439-9682-57BE2E2B9DF5}"/>
    <cellStyle name="Normal 3 3 2" xfId="21" xr:uid="{CC25578F-C84F-4539-84F4-C740FF4E9295}"/>
    <cellStyle name="Normal 4" xfId="10" xr:uid="{517A9F8C-9865-47DE-A938-4BFDCCA0BDED}"/>
    <cellStyle name="Normal 4 2" xfId="19" xr:uid="{76B9AA3F-CFF7-4739-AAF2-1AD5E3BEDE96}"/>
    <cellStyle name="Normal 4 2 2" xfId="23" xr:uid="{DE93261F-820B-47C2-8C69-31C48D9E619E}"/>
    <cellStyle name="Normal 4 3" xfId="14" xr:uid="{1E628FB7-C9D4-4737-BFAA-91FF0FDD0F01}"/>
    <cellStyle name="Normal 5" xfId="11" xr:uid="{3E3AF855-B393-4A81-A254-EBB76C3DABFC}"/>
    <cellStyle name="Normal 5 2" xfId="24" xr:uid="{E139BB85-EDA7-4F01-8130-7C024D0B5603}"/>
    <cellStyle name="Normal 6" xfId="17" xr:uid="{BF2B0B67-D567-4CFF-B723-012A9D2C45FB}"/>
    <cellStyle name="Normal 7" xfId="25" xr:uid="{C94627E7-D9F6-4ADD-93F3-297CC58D7D07}"/>
    <cellStyle name="Normal 8" xfId="27" xr:uid="{31C89091-D8D6-4D9C-8919-D57667B8AD85}"/>
    <cellStyle name="Normal 9" xfId="31" xr:uid="{4A356BC4-3CCD-4F42-9ECA-6F46F37CC0AA}"/>
    <cellStyle name="Porcentagem" xfId="7" builtinId="5"/>
    <cellStyle name="Porcentagem 2" xfId="4" xr:uid="{6AD9715E-4AFB-48D7-98D6-EFDBEF94EBD1}"/>
    <cellStyle name="Porcentagem 3" xfId="5" xr:uid="{C1C3FB93-F6D7-40BB-9DDE-605C73947460}"/>
    <cellStyle name="Porcentagem 4" xfId="16" xr:uid="{A12DDBF4-6344-4D46-A7A5-4310275A96E2}"/>
    <cellStyle name="Separador de milhares 4" xfId="3" xr:uid="{6A0D8946-B189-490D-8C7A-E29695CA90C8}"/>
    <cellStyle name="Vírgula" xfId="6" builtinId="3"/>
    <cellStyle name="Vírgula 2" xfId="9" xr:uid="{589CA557-A0EA-45C0-B9DF-A1153977FFCA}"/>
    <cellStyle name="Vírgula 2 2" xfId="20" xr:uid="{197695BA-6EF9-4BB4-B4BA-ACD4DC334E97}"/>
    <cellStyle name="Vírgula 2 3" xfId="22" xr:uid="{0EEFCAC6-DF07-4362-A7F2-18B71EF39D12}"/>
    <cellStyle name="Vírgula 3" xfId="28" xr:uid="{92EBF181-8E34-4E54-AFEC-9AD84F3348E9}"/>
    <cellStyle name="Vírgula 4" xfId="12" xr:uid="{7D20224F-2294-47C0-AA47-14E7B3C8E1E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134470</xdr:colOff>
      <xdr:row>0</xdr:row>
      <xdr:rowOff>63725</xdr:rowOff>
    </xdr:from>
    <xdr:to>
      <xdr:col>9</xdr:col>
      <xdr:colOff>526675</xdr:colOff>
      <xdr:row>5</xdr:row>
      <xdr:rowOff>196028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1852" y="63725"/>
          <a:ext cx="997323" cy="110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484912</xdr:colOff>
      <xdr:row>1</xdr:row>
      <xdr:rowOff>95250</xdr:rowOff>
    </xdr:from>
    <xdr:to>
      <xdr:col>18</xdr:col>
      <xdr:colOff>519543</xdr:colOff>
      <xdr:row>5</xdr:row>
      <xdr:rowOff>131097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6269" y="258536"/>
          <a:ext cx="851062" cy="879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68036</xdr:colOff>
      <xdr:row>0</xdr:row>
      <xdr:rowOff>13607</xdr:rowOff>
    </xdr:from>
    <xdr:ext cx="862052" cy="631503"/>
    <xdr:pic>
      <xdr:nvPicPr>
        <xdr:cNvPr id="2" name="image1.jpeg">
          <a:extLst>
            <a:ext uri="{FF2B5EF4-FFF2-40B4-BE49-F238E27FC236}">
              <a16:creationId xmlns:a16="http://schemas.microsoft.com/office/drawing/2014/main" id="{CB277BC7-2FB3-4BE2-9270-2C5CE5062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13607"/>
          <a:ext cx="862052" cy="631503"/>
        </a:xfrm>
        <a:prstGeom prst="rect">
          <a:avLst/>
        </a:prstGeom>
      </xdr:spPr>
    </xdr:pic>
    <xdr:clientData/>
  </xdr:oneCellAnchor>
  <xdr:twoCellAnchor editAs="oneCell">
    <xdr:from>
      <xdr:col>11</xdr:col>
      <xdr:colOff>331729</xdr:colOff>
      <xdr:row>0</xdr:row>
      <xdr:rowOff>40822</xdr:rowOff>
    </xdr:from>
    <xdr:to>
      <xdr:col>12</xdr:col>
      <xdr:colOff>429558</xdr:colOff>
      <xdr:row>2</xdr:row>
      <xdr:rowOff>190500</xdr:rowOff>
    </xdr:to>
    <xdr:pic>
      <xdr:nvPicPr>
        <xdr:cNvPr id="3" name="Imagem 2" descr="Prefeitura Municipal de São Cristóvão - SE">
          <a:extLst>
            <a:ext uri="{FF2B5EF4-FFF2-40B4-BE49-F238E27FC236}">
              <a16:creationId xmlns:a16="http://schemas.microsoft.com/office/drawing/2014/main" id="{9BB3CA8C-E8F7-4C34-866E-D0E82767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817" y="40822"/>
          <a:ext cx="1095153" cy="597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87086</xdr:colOff>
      <xdr:row>0</xdr:row>
      <xdr:rowOff>42182</xdr:rowOff>
    </xdr:from>
    <xdr:ext cx="852585" cy="624568"/>
    <xdr:pic>
      <xdr:nvPicPr>
        <xdr:cNvPr id="2" name="image1.jpeg">
          <a:extLst>
            <a:ext uri="{FF2B5EF4-FFF2-40B4-BE49-F238E27FC236}">
              <a16:creationId xmlns:a16="http://schemas.microsoft.com/office/drawing/2014/main" id="{1333E9EE-E834-4980-B80F-0DBFA8B2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42182"/>
          <a:ext cx="852585" cy="624568"/>
        </a:xfrm>
        <a:prstGeom prst="rect">
          <a:avLst/>
        </a:prstGeom>
      </xdr:spPr>
    </xdr:pic>
    <xdr:clientData/>
  </xdr:oneCellAnchor>
  <xdr:twoCellAnchor editAs="oneCell">
    <xdr:from>
      <xdr:col>6</xdr:col>
      <xdr:colOff>209549</xdr:colOff>
      <xdr:row>0</xdr:row>
      <xdr:rowOff>40823</xdr:rowOff>
    </xdr:from>
    <xdr:to>
      <xdr:col>7</xdr:col>
      <xdr:colOff>308534</xdr:colOff>
      <xdr:row>2</xdr:row>
      <xdr:rowOff>202889</xdr:rowOff>
    </xdr:to>
    <xdr:pic>
      <xdr:nvPicPr>
        <xdr:cNvPr id="3" name="Imagem 2" descr="Prefeitura Municipal de São Cristóvão - SE">
          <a:extLst>
            <a:ext uri="{FF2B5EF4-FFF2-40B4-BE49-F238E27FC236}">
              <a16:creationId xmlns:a16="http://schemas.microsoft.com/office/drawing/2014/main" id="{1C5E4818-E973-485B-AB89-1E2DA0576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4" y="40823"/>
          <a:ext cx="975285" cy="619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38659</xdr:colOff>
      <xdr:row>0</xdr:row>
      <xdr:rowOff>30256</xdr:rowOff>
    </xdr:from>
    <xdr:ext cx="628650" cy="425824"/>
    <xdr:pic>
      <xdr:nvPicPr>
        <xdr:cNvPr id="2" name="image1.jpeg">
          <a:extLst>
            <a:ext uri="{FF2B5EF4-FFF2-40B4-BE49-F238E27FC236}">
              <a16:creationId xmlns:a16="http://schemas.microsoft.com/office/drawing/2014/main" id="{2D6B6A78-D7C5-45B7-AA6A-02D62EF4B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59" y="30256"/>
          <a:ext cx="628650" cy="425824"/>
        </a:xfrm>
        <a:prstGeom prst="rect">
          <a:avLst/>
        </a:prstGeom>
      </xdr:spPr>
    </xdr:pic>
    <xdr:clientData/>
  </xdr:oneCellAnchor>
  <xdr:twoCellAnchor editAs="oneCell">
    <xdr:from>
      <xdr:col>5</xdr:col>
      <xdr:colOff>2371725</xdr:colOff>
      <xdr:row>0</xdr:row>
      <xdr:rowOff>19051</xdr:rowOff>
    </xdr:from>
    <xdr:to>
      <xdr:col>5</xdr:col>
      <xdr:colOff>3018740</xdr:colOff>
      <xdr:row>1</xdr:row>
      <xdr:rowOff>180976</xdr:rowOff>
    </xdr:to>
    <xdr:pic>
      <xdr:nvPicPr>
        <xdr:cNvPr id="3" name="Imagem 2" descr="Prefeitura Municipal de São Cristóvão - SE">
          <a:extLst>
            <a:ext uri="{FF2B5EF4-FFF2-40B4-BE49-F238E27FC236}">
              <a16:creationId xmlns:a16="http://schemas.microsoft.com/office/drawing/2014/main" id="{296B5DFB-026A-4F5A-9895-74A391F45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9051"/>
          <a:ext cx="64701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628650" cy="460523"/>
    <xdr:pic>
      <xdr:nvPicPr>
        <xdr:cNvPr id="2" name="image1.jpeg">
          <a:extLst>
            <a:ext uri="{FF2B5EF4-FFF2-40B4-BE49-F238E27FC236}">
              <a16:creationId xmlns:a16="http://schemas.microsoft.com/office/drawing/2014/main" id="{B6658BFB-FCA0-4D25-8BF7-8BE474A3F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628650" cy="460523"/>
        </a:xfrm>
        <a:prstGeom prst="rect">
          <a:avLst/>
        </a:prstGeom>
      </xdr:spPr>
    </xdr:pic>
    <xdr:clientData/>
  </xdr:oneCellAnchor>
  <xdr:twoCellAnchor editAs="oneCell">
    <xdr:from>
      <xdr:col>6</xdr:col>
      <xdr:colOff>390988</xdr:colOff>
      <xdr:row>0</xdr:row>
      <xdr:rowOff>28576</xdr:rowOff>
    </xdr:from>
    <xdr:to>
      <xdr:col>6</xdr:col>
      <xdr:colOff>1123728</xdr:colOff>
      <xdr:row>1</xdr:row>
      <xdr:rowOff>190500</xdr:rowOff>
    </xdr:to>
    <xdr:pic>
      <xdr:nvPicPr>
        <xdr:cNvPr id="3" name="Imagem 2" descr="Prefeitura Municipal de São Cristóvão - SE">
          <a:extLst>
            <a:ext uri="{FF2B5EF4-FFF2-40B4-BE49-F238E27FC236}">
              <a16:creationId xmlns:a16="http://schemas.microsoft.com/office/drawing/2014/main" id="{8265F477-4DCB-40F8-852E-BC8512E1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663" y="28576"/>
          <a:ext cx="732740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173876</xdr:colOff>
      <xdr:row>0</xdr:row>
      <xdr:rowOff>67236</xdr:rowOff>
    </xdr:from>
    <xdr:to>
      <xdr:col>3</xdr:col>
      <xdr:colOff>1094519</xdr:colOff>
      <xdr:row>3</xdr:row>
      <xdr:rowOff>313765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C82247-57F0-4F99-B44B-A001A631A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2288" y="67236"/>
          <a:ext cx="920643" cy="71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emerson/Meus%20documentos/Planilha/Cron%20Basico%20e%20H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Gerencia%20Obra\DNER\Ic&#243;\Pato%20BR%20116%20Ic&#243;%20para%20licitaca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BRA/AppData/Local/Microsoft/Windows/INetCache/Content.Outlook/1H6OGOLK/Planejado%20x%20Realizado%20-%20SES%20PRAZERES%202%20(9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BRA/AppData/Local/Microsoft/Windows/INetCache/Content.Outlook/XX3DVW86/PRZ/Acompanhamento%20e%20Planejamento/Relat&#243;rios%20de%20Custo/03.%20EAPMETAFSICA-SES%20PRAZERES_VER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ugusta\Atp\Documents%20and%20Settings\Renato\Desktop\Pre&#231;os%20Revisados-OAE-SEPLANE-(25-11-04)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:/Comercial/EXCEL/ARQUIVOS/0901_1000/TE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 Bas 2.10"/>
      <sheetName val="Plan2.7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por serv princ"/>
      <sheetName val="Orçamento"/>
      <sheetName val="PATO"/>
      <sheetName val="Transp basc 5m3"/>
      <sheetName val="Transp carroceria"/>
      <sheetName val="Transp carroceria com"/>
      <sheetName val="Transp Mat. para Remendos"/>
      <sheetName val="Consumo e Tansp. mat. bet."/>
      <sheetName val="CRONOGRAMA"/>
      <sheetName val="Gráfico"/>
      <sheetName val="02.510.01"/>
      <sheetName val="02.511.01"/>
      <sheetName val="02.530.01"/>
      <sheetName val="03.329.00"/>
      <sheetName val="08.404.00"/>
      <sheetName val="E412"/>
      <sheetName val="Simulação"/>
      <sheetName val="dez00"/>
      <sheetName val="Mão de Obra"/>
      <sheetName val="Material"/>
      <sheetName val="EQUIPAMENTO"/>
      <sheetName val="Consumo e Tansp. mat. bet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F1">
            <v>36861</v>
          </cell>
        </row>
        <row r="3">
          <cell r="A3" t="str">
            <v>1 A 01 170 02</v>
          </cell>
          <cell r="B3" t="str">
            <v>Areia extraída com trator e carregadeira</v>
          </cell>
          <cell r="C3" t="str">
            <v>m3</v>
          </cell>
          <cell r="D3">
            <v>2.63</v>
          </cell>
          <cell r="E3">
            <v>0</v>
          </cell>
          <cell r="F3">
            <v>2.63</v>
          </cell>
        </row>
        <row r="4">
          <cell r="A4" t="str">
            <v>3 S 01 200 00</v>
          </cell>
          <cell r="B4" t="str">
            <v>Escavação e carga mat. jazida (consv)</v>
          </cell>
          <cell r="C4" t="str">
            <v>m3</v>
          </cell>
          <cell r="D4">
            <v>3.59</v>
          </cell>
          <cell r="E4">
            <v>1.17</v>
          </cell>
          <cell r="F4">
            <v>4.76</v>
          </cell>
        </row>
        <row r="5">
          <cell r="A5" t="str">
            <v>3 S 01 401 00</v>
          </cell>
          <cell r="B5" t="str">
            <v>Recomposição de revestimento primário</v>
          </cell>
          <cell r="C5" t="str">
            <v>m3</v>
          </cell>
          <cell r="D5">
            <v>5.37</v>
          </cell>
          <cell r="E5">
            <v>1.75</v>
          </cell>
          <cell r="F5">
            <v>7.12</v>
          </cell>
        </row>
        <row r="6">
          <cell r="A6" t="str">
            <v>3 S 01 930 00</v>
          </cell>
          <cell r="B6" t="str">
            <v>Regularização mecânica da faixa de domínio</v>
          </cell>
          <cell r="C6" t="str">
            <v>m2</v>
          </cell>
          <cell r="D6">
            <v>0.08</v>
          </cell>
          <cell r="E6">
            <v>0.02</v>
          </cell>
          <cell r="F6">
            <v>0.11</v>
          </cell>
        </row>
        <row r="7">
          <cell r="A7" t="str">
            <v>3 S 02 200 00</v>
          </cell>
          <cell r="B7" t="str">
            <v>Solo p/ base de remendo profundo</v>
          </cell>
          <cell r="C7" t="str">
            <v>m3</v>
          </cell>
          <cell r="D7">
            <v>4.13</v>
          </cell>
          <cell r="E7">
            <v>1.34</v>
          </cell>
          <cell r="F7">
            <v>5.48</v>
          </cell>
        </row>
        <row r="8">
          <cell r="A8" t="str">
            <v>3 S 02 200 01</v>
          </cell>
          <cell r="B8" t="str">
            <v>Recomposição de camada granular do pavimento</v>
          </cell>
          <cell r="C8" t="str">
            <v>m3</v>
          </cell>
          <cell r="D8">
            <v>6.28</v>
          </cell>
          <cell r="E8">
            <v>2.04</v>
          </cell>
          <cell r="F8">
            <v>8.33</v>
          </cell>
        </row>
        <row r="9">
          <cell r="A9" t="str">
            <v>3 S 02 220 00</v>
          </cell>
          <cell r="B9" t="str">
            <v>Solo brita p/ base de rem. profundo</v>
          </cell>
          <cell r="C9" t="str">
            <v>m3</v>
          </cell>
          <cell r="D9">
            <v>9.9600000000000009</v>
          </cell>
          <cell r="E9">
            <v>3.24</v>
          </cell>
          <cell r="F9">
            <v>13.21</v>
          </cell>
        </row>
        <row r="10">
          <cell r="A10" t="str">
            <v>3 S 02 230 00</v>
          </cell>
          <cell r="B10" t="str">
            <v>Brita para base de remendo profundo</v>
          </cell>
          <cell r="C10" t="str">
            <v>m3</v>
          </cell>
          <cell r="D10">
            <v>22.27</v>
          </cell>
          <cell r="E10">
            <v>7.24</v>
          </cell>
          <cell r="F10">
            <v>29.51</v>
          </cell>
        </row>
        <row r="11">
          <cell r="A11" t="str">
            <v>3 S 02 241 00</v>
          </cell>
          <cell r="B11" t="str">
            <v>Solo melhorado c/ cimento p/ base rem. profundo</v>
          </cell>
          <cell r="C11" t="str">
            <v>m3</v>
          </cell>
          <cell r="D11">
            <v>16.32</v>
          </cell>
          <cell r="E11">
            <v>5.31</v>
          </cell>
          <cell r="F11">
            <v>21.64</v>
          </cell>
        </row>
        <row r="12">
          <cell r="A12" t="str">
            <v>3 S 02 300 00</v>
          </cell>
          <cell r="B12" t="str">
            <v>Imprimação</v>
          </cell>
          <cell r="C12" t="str">
            <v>m2</v>
          </cell>
          <cell r="D12">
            <v>0.06</v>
          </cell>
          <cell r="E12">
            <v>0.02</v>
          </cell>
          <cell r="F12">
            <v>0.09</v>
          </cell>
        </row>
        <row r="13">
          <cell r="A13" t="str">
            <v>3 S 02 400 00</v>
          </cell>
          <cell r="B13" t="str">
            <v>Pintura de ligação</v>
          </cell>
          <cell r="C13" t="str">
            <v>m2</v>
          </cell>
          <cell r="D13">
            <v>0.04</v>
          </cell>
          <cell r="E13">
            <v>0.01</v>
          </cell>
          <cell r="F13">
            <v>0.06</v>
          </cell>
        </row>
        <row r="14">
          <cell r="A14" t="str">
            <v>3 S 02 500 00</v>
          </cell>
          <cell r="B14" t="str">
            <v>Capa selante com pedrisco</v>
          </cell>
          <cell r="C14" t="str">
            <v>m2</v>
          </cell>
          <cell r="D14">
            <v>0.19</v>
          </cell>
          <cell r="E14">
            <v>0.06</v>
          </cell>
          <cell r="F14">
            <v>0.25</v>
          </cell>
        </row>
        <row r="15">
          <cell r="A15" t="str">
            <v>3 S 02 500 01</v>
          </cell>
          <cell r="B15" t="str">
            <v>Capa selante com areia</v>
          </cell>
          <cell r="C15" t="str">
            <v>m2</v>
          </cell>
          <cell r="D15">
            <v>0.1</v>
          </cell>
          <cell r="E15">
            <v>0.03</v>
          </cell>
          <cell r="F15">
            <v>0.13</v>
          </cell>
        </row>
        <row r="16">
          <cell r="A16" t="str">
            <v>3 S 02 500 02</v>
          </cell>
          <cell r="B16" t="str">
            <v>Tratamento superficial simples com CAP</v>
          </cell>
          <cell r="C16" t="str">
            <v>m2</v>
          </cell>
          <cell r="D16">
            <v>0.27</v>
          </cell>
          <cell r="E16">
            <v>0.08</v>
          </cell>
          <cell r="F16">
            <v>0.36</v>
          </cell>
        </row>
        <row r="17">
          <cell r="A17" t="str">
            <v>3 S 02 500 03</v>
          </cell>
          <cell r="B17" t="str">
            <v>Tratamento superficial simples com emulsão</v>
          </cell>
          <cell r="C17" t="str">
            <v>m2</v>
          </cell>
          <cell r="D17">
            <v>0.25</v>
          </cell>
          <cell r="E17">
            <v>0.08</v>
          </cell>
          <cell r="F17">
            <v>0.34</v>
          </cell>
        </row>
        <row r="18">
          <cell r="A18" t="str">
            <v>3 S 02 500 04</v>
          </cell>
          <cell r="B18" t="str">
            <v>Tratamento superficial simples c/ banho diluído</v>
          </cell>
          <cell r="C18" t="str">
            <v>m2</v>
          </cell>
          <cell r="D18">
            <v>0.28000000000000003</v>
          </cell>
          <cell r="E18">
            <v>0.09</v>
          </cell>
          <cell r="F18">
            <v>0.38</v>
          </cell>
        </row>
        <row r="19">
          <cell r="A19" t="str">
            <v>3 S 02 501 00</v>
          </cell>
          <cell r="B19" t="str">
            <v>Tratamento superficial duplo c/ CAP</v>
          </cell>
          <cell r="C19" t="str">
            <v>m2</v>
          </cell>
          <cell r="D19">
            <v>0.81</v>
          </cell>
          <cell r="E19">
            <v>0.26</v>
          </cell>
          <cell r="F19">
            <v>1.08</v>
          </cell>
        </row>
        <row r="20">
          <cell r="A20" t="str">
            <v>3 S 02 501 01</v>
          </cell>
          <cell r="B20" t="str">
            <v>Tratamento superficial duplo com emulsão</v>
          </cell>
          <cell r="C20" t="str">
            <v>m2</v>
          </cell>
          <cell r="D20">
            <v>0.81</v>
          </cell>
          <cell r="E20">
            <v>0.26</v>
          </cell>
          <cell r="F20">
            <v>1.07</v>
          </cell>
        </row>
        <row r="21">
          <cell r="A21" t="str">
            <v>3 S 02 501 02</v>
          </cell>
          <cell r="B21" t="str">
            <v>Tratamento superficial duplo com banho diluído</v>
          </cell>
          <cell r="C21" t="str">
            <v>m2</v>
          </cell>
          <cell r="D21">
            <v>0.87</v>
          </cell>
          <cell r="E21">
            <v>0.28000000000000003</v>
          </cell>
          <cell r="F21">
            <v>1.1599999999999999</v>
          </cell>
        </row>
        <row r="22">
          <cell r="A22" t="str">
            <v>3 S 02 502 00</v>
          </cell>
          <cell r="B22" t="str">
            <v>Tratamento superficial triplo com CAP</v>
          </cell>
          <cell r="C22" t="str">
            <v>m2</v>
          </cell>
          <cell r="D22">
            <v>1.1499999999999999</v>
          </cell>
          <cell r="E22">
            <v>0.37</v>
          </cell>
          <cell r="F22">
            <v>1.53</v>
          </cell>
        </row>
        <row r="23">
          <cell r="A23" t="str">
            <v>3 S 02 502 01</v>
          </cell>
          <cell r="B23" t="str">
            <v>Tratamento superficial triplo com emulsão</v>
          </cell>
          <cell r="C23" t="str">
            <v>m2</v>
          </cell>
          <cell r="D23">
            <v>1.17</v>
          </cell>
          <cell r="E23">
            <v>0.38</v>
          </cell>
          <cell r="F23">
            <v>1.55</v>
          </cell>
        </row>
        <row r="24">
          <cell r="A24" t="str">
            <v>3 S 02 502 02</v>
          </cell>
          <cell r="B24" t="str">
            <v>Tratamento superficial triplo com banho diluído</v>
          </cell>
          <cell r="C24" t="str">
            <v>m2</v>
          </cell>
          <cell r="D24">
            <v>1.24</v>
          </cell>
          <cell r="E24">
            <v>0.4</v>
          </cell>
          <cell r="F24">
            <v>1.65</v>
          </cell>
        </row>
        <row r="25">
          <cell r="A25" t="str">
            <v>3 S 02 510 00</v>
          </cell>
          <cell r="B25" t="str">
            <v>Lama asfáltica fina (granulometrias I e II )</v>
          </cell>
          <cell r="C25" t="str">
            <v>m2</v>
          </cell>
          <cell r="D25">
            <v>0.28000000000000003</v>
          </cell>
          <cell r="E25">
            <v>0.09</v>
          </cell>
          <cell r="F25">
            <v>0.37</v>
          </cell>
        </row>
        <row r="26">
          <cell r="A26" t="str">
            <v>3 S 02 510 01</v>
          </cell>
          <cell r="B26" t="str">
            <v>Lama asfáltica grossa (granulometrias III e IV)</v>
          </cell>
          <cell r="C26" t="str">
            <v>m2</v>
          </cell>
          <cell r="D26">
            <v>0.5</v>
          </cell>
          <cell r="E26">
            <v>0.16</v>
          </cell>
          <cell r="F26">
            <v>0.67</v>
          </cell>
        </row>
        <row r="27">
          <cell r="A27" t="str">
            <v>3 S 02 520 00</v>
          </cell>
          <cell r="B27" t="str">
            <v>Mistura areia-asfalto em betoneira</v>
          </cell>
          <cell r="C27" t="str">
            <v>m3</v>
          </cell>
          <cell r="D27">
            <v>14.69</v>
          </cell>
          <cell r="E27">
            <v>4.78</v>
          </cell>
          <cell r="F27">
            <v>19.47</v>
          </cell>
        </row>
        <row r="28">
          <cell r="A28" t="str">
            <v>3 S 02 520 01</v>
          </cell>
          <cell r="B28" t="str">
            <v>Mistura areia-asfalto usinada a frio</v>
          </cell>
          <cell r="C28" t="str">
            <v>m3</v>
          </cell>
          <cell r="D28">
            <v>9.6</v>
          </cell>
          <cell r="E28">
            <v>3.12</v>
          </cell>
          <cell r="F28">
            <v>12.72</v>
          </cell>
        </row>
        <row r="29">
          <cell r="A29" t="str">
            <v>3 S 02 520 02</v>
          </cell>
          <cell r="B29" t="str">
            <v>Rec.do rev. com areia asfalto a frio</v>
          </cell>
          <cell r="C29" t="str">
            <v>m3</v>
          </cell>
          <cell r="D29">
            <v>11.17</v>
          </cell>
          <cell r="E29">
            <v>3.63</v>
          </cell>
          <cell r="F29">
            <v>14.8</v>
          </cell>
        </row>
        <row r="30">
          <cell r="A30" t="str">
            <v>3 S 02 521 00</v>
          </cell>
          <cell r="B30" t="str">
            <v>Mistura areia-asfalto usinada a quente</v>
          </cell>
          <cell r="C30" t="str">
            <v>m3</v>
          </cell>
          <cell r="D30">
            <v>27.74</v>
          </cell>
          <cell r="E30">
            <v>9.02</v>
          </cell>
          <cell r="F30">
            <v>36.770000000000003</v>
          </cell>
        </row>
        <row r="31">
          <cell r="A31" t="str">
            <v>3 S 02 521 01</v>
          </cell>
          <cell r="B31" t="str">
            <v>Rec. do rev. com areia asfalto a quente</v>
          </cell>
          <cell r="C31" t="str">
            <v>m3</v>
          </cell>
          <cell r="D31">
            <v>7.67</v>
          </cell>
          <cell r="E31">
            <v>2.4900000000000002</v>
          </cell>
          <cell r="F31">
            <v>10.16</v>
          </cell>
        </row>
        <row r="32">
          <cell r="A32" t="str">
            <v>3 S 02 530 00</v>
          </cell>
          <cell r="B32" t="str">
            <v>Mistura betuminosa em betoneira</v>
          </cell>
          <cell r="C32" t="str">
            <v>m3</v>
          </cell>
          <cell r="D32">
            <v>21.48</v>
          </cell>
          <cell r="E32">
            <v>6.99</v>
          </cell>
          <cell r="F32">
            <v>28.47</v>
          </cell>
        </row>
        <row r="33">
          <cell r="A33" t="str">
            <v>3 S 02 530 01</v>
          </cell>
          <cell r="B33" t="str">
            <v>Mistura betuminosa usinada a frio</v>
          </cell>
          <cell r="C33" t="str">
            <v>m3</v>
          </cell>
          <cell r="D33">
            <v>20.29</v>
          </cell>
          <cell r="E33">
            <v>6.6</v>
          </cell>
          <cell r="F33">
            <v>26.89</v>
          </cell>
        </row>
        <row r="34">
          <cell r="A34" t="str">
            <v>3 S 02 530 02</v>
          </cell>
          <cell r="B34" t="str">
            <v>Rec.do rev. com mistura betuminosa a frio</v>
          </cell>
          <cell r="C34" t="str">
            <v>m3</v>
          </cell>
          <cell r="D34">
            <v>12.63</v>
          </cell>
          <cell r="E34">
            <v>4.1100000000000003</v>
          </cell>
          <cell r="F34">
            <v>16.739999999999998</v>
          </cell>
        </row>
        <row r="35">
          <cell r="A35" t="str">
            <v>3 S 02 540 00</v>
          </cell>
          <cell r="B35" t="str">
            <v>Mistura betuminosa usinada a quente</v>
          </cell>
          <cell r="C35" t="str">
            <v>m3</v>
          </cell>
          <cell r="D35">
            <v>42.89</v>
          </cell>
          <cell r="E35">
            <v>13.96</v>
          </cell>
          <cell r="F35">
            <v>56.85</v>
          </cell>
        </row>
        <row r="36">
          <cell r="A36" t="str">
            <v>3 S 02 540 01</v>
          </cell>
          <cell r="B36" t="str">
            <v>Rec.do rev.com mistura betuminosa a quente</v>
          </cell>
          <cell r="C36" t="str">
            <v>m3</v>
          </cell>
          <cell r="D36">
            <v>8.8699999999999992</v>
          </cell>
          <cell r="E36">
            <v>2.88</v>
          </cell>
          <cell r="F36">
            <v>11.76</v>
          </cell>
        </row>
        <row r="37">
          <cell r="A37" t="str">
            <v>3 S 02 601 00</v>
          </cell>
          <cell r="B37" t="str">
            <v>Recomposição de placa de concreto</v>
          </cell>
          <cell r="C37" t="str">
            <v>m3</v>
          </cell>
          <cell r="D37">
            <v>102.55</v>
          </cell>
          <cell r="E37">
            <v>33.380000000000003</v>
          </cell>
          <cell r="F37">
            <v>135.94</v>
          </cell>
        </row>
        <row r="38">
          <cell r="A38" t="str">
            <v>3 S 02 900 00</v>
          </cell>
          <cell r="B38" t="str">
            <v>Remoção mecanizada de revestimento betuminoso</v>
          </cell>
          <cell r="C38" t="str">
            <v>m3</v>
          </cell>
          <cell r="D38">
            <v>2.95</v>
          </cell>
          <cell r="E38">
            <v>0.96</v>
          </cell>
          <cell r="F38">
            <v>3.92</v>
          </cell>
        </row>
        <row r="39">
          <cell r="A39" t="str">
            <v>3 S 02 901 00</v>
          </cell>
          <cell r="B39" t="str">
            <v>Remoção manual de revestimento betuminoso</v>
          </cell>
          <cell r="C39" t="str">
            <v>m3</v>
          </cell>
          <cell r="D39">
            <v>47.07</v>
          </cell>
          <cell r="E39">
            <v>15.32</v>
          </cell>
          <cell r="F39">
            <v>62.39</v>
          </cell>
        </row>
        <row r="40">
          <cell r="A40" t="str">
            <v>3 S 02 902 00</v>
          </cell>
          <cell r="B40" t="str">
            <v>Remoção mecanizada da camada granular do pavimento</v>
          </cell>
          <cell r="C40" t="str">
            <v>m3</v>
          </cell>
          <cell r="D40">
            <v>1.9</v>
          </cell>
          <cell r="E40">
            <v>0.61</v>
          </cell>
          <cell r="F40">
            <v>2.52</v>
          </cell>
        </row>
        <row r="41">
          <cell r="A41" t="str">
            <v>3 S 02 903 00</v>
          </cell>
          <cell r="B41" t="str">
            <v>Remoção manual da camada granular do pavimento</v>
          </cell>
          <cell r="C41" t="str">
            <v>m3</v>
          </cell>
          <cell r="D41">
            <v>25.09</v>
          </cell>
          <cell r="E41">
            <v>8.16</v>
          </cell>
          <cell r="F41">
            <v>33.25</v>
          </cell>
        </row>
        <row r="42">
          <cell r="A42" t="str">
            <v>3 S 02 999 00</v>
          </cell>
          <cell r="B42" t="str">
            <v>Peneiramento</v>
          </cell>
          <cell r="C42" t="str">
            <v>m3</v>
          </cell>
          <cell r="D42">
            <v>3.03</v>
          </cell>
          <cell r="E42">
            <v>0.98</v>
          </cell>
          <cell r="F42">
            <v>4.0199999999999996</v>
          </cell>
        </row>
        <row r="43">
          <cell r="A43" t="str">
            <v>3 S 03 310 00</v>
          </cell>
          <cell r="B43" t="str">
            <v>Concreto ciclópico</v>
          </cell>
          <cell r="C43" t="str">
            <v>m3</v>
          </cell>
          <cell r="D43">
            <v>78.209999999999994</v>
          </cell>
          <cell r="E43">
            <v>25.45</v>
          </cell>
          <cell r="F43">
            <v>103.67</v>
          </cell>
        </row>
        <row r="44">
          <cell r="A44" t="str">
            <v>3 S 03 329 00</v>
          </cell>
          <cell r="B44" t="str">
            <v>Concreto de cimento (confecção e lançamento)</v>
          </cell>
          <cell r="C44" t="str">
            <v>m3</v>
          </cell>
          <cell r="D44">
            <v>96.73</v>
          </cell>
          <cell r="E44">
            <v>31.48</v>
          </cell>
          <cell r="F44">
            <v>128.21</v>
          </cell>
        </row>
        <row r="45">
          <cell r="A45" t="str">
            <v>3 S 03 329 01</v>
          </cell>
          <cell r="B45" t="str">
            <v>Concreto de cimento(confecção manual e lançamento)</v>
          </cell>
          <cell r="C45" t="str">
            <v>m3</v>
          </cell>
          <cell r="D45">
            <v>112.94</v>
          </cell>
          <cell r="E45">
            <v>36.76</v>
          </cell>
          <cell r="F45">
            <v>149.69999999999999</v>
          </cell>
        </row>
        <row r="46">
          <cell r="A46" t="str">
            <v>3 S 03 340 02</v>
          </cell>
          <cell r="B46" t="str">
            <v>Argamassa cimento areia 1-6</v>
          </cell>
          <cell r="C46" t="str">
            <v>m3</v>
          </cell>
          <cell r="D46">
            <v>81.86</v>
          </cell>
          <cell r="E46">
            <v>26.64</v>
          </cell>
          <cell r="F46">
            <v>108.51</v>
          </cell>
        </row>
        <row r="47">
          <cell r="A47" t="str">
            <v>3 S 03 340 03</v>
          </cell>
          <cell r="B47" t="str">
            <v>Argamassa cimento solo 1:10</v>
          </cell>
          <cell r="C47" t="str">
            <v>m3</v>
          </cell>
          <cell r="D47">
            <v>53.21</v>
          </cell>
          <cell r="E47">
            <v>17.32</v>
          </cell>
          <cell r="F47">
            <v>70.53</v>
          </cell>
        </row>
        <row r="48">
          <cell r="A48" t="str">
            <v>3 S 03 353 00</v>
          </cell>
          <cell r="B48" t="str">
            <v>Dobragem e colocação de armadura</v>
          </cell>
          <cell r="C48" t="str">
            <v>kg</v>
          </cell>
          <cell r="D48">
            <v>1.68</v>
          </cell>
          <cell r="E48">
            <v>0.54</v>
          </cell>
          <cell r="F48">
            <v>2.23</v>
          </cell>
        </row>
        <row r="49">
          <cell r="A49" t="str">
            <v>3 S 03 370 00</v>
          </cell>
          <cell r="B49" t="str">
            <v>Forma comum de madeira</v>
          </cell>
          <cell r="C49" t="str">
            <v>m2</v>
          </cell>
          <cell r="D49">
            <v>17.96</v>
          </cell>
          <cell r="E49">
            <v>5.84</v>
          </cell>
          <cell r="F49">
            <v>23.81</v>
          </cell>
        </row>
        <row r="50">
          <cell r="A50" t="str">
            <v>3 S 03 940 01</v>
          </cell>
          <cell r="B50" t="str">
            <v>Reaterro e compactação p/ bueiro</v>
          </cell>
          <cell r="C50" t="str">
            <v>m3</v>
          </cell>
          <cell r="D50">
            <v>6.99</v>
          </cell>
          <cell r="E50">
            <v>2.27</v>
          </cell>
          <cell r="F50">
            <v>9.26</v>
          </cell>
        </row>
        <row r="51">
          <cell r="A51" t="str">
            <v>3 S 03 940 02</v>
          </cell>
          <cell r="B51" t="str">
            <v>Reaterro apiloado</v>
          </cell>
          <cell r="C51" t="str">
            <v>m3</v>
          </cell>
          <cell r="D51">
            <v>4.46</v>
          </cell>
          <cell r="E51">
            <v>1.45</v>
          </cell>
          <cell r="F51">
            <v>5.92</v>
          </cell>
        </row>
        <row r="52">
          <cell r="A52" t="str">
            <v>3 S 03 950 00</v>
          </cell>
          <cell r="B52" t="str">
            <v>Limpeza de ponte</v>
          </cell>
          <cell r="C52" t="str">
            <v>m</v>
          </cell>
          <cell r="D52">
            <v>1.1299999999999999</v>
          </cell>
          <cell r="E52">
            <v>0.37</v>
          </cell>
          <cell r="F52">
            <v>1.5</v>
          </cell>
        </row>
        <row r="53">
          <cell r="A53" t="str">
            <v>3 S 04 000 00</v>
          </cell>
          <cell r="B53" t="str">
            <v>Escavação manual em material de 1a categoria</v>
          </cell>
          <cell r="C53" t="str">
            <v>m3</v>
          </cell>
          <cell r="D53">
            <v>8.07</v>
          </cell>
          <cell r="E53">
            <v>2.62</v>
          </cell>
          <cell r="F53">
            <v>10.7</v>
          </cell>
        </row>
        <row r="54">
          <cell r="A54" t="str">
            <v>3 S 04 000 01</v>
          </cell>
          <cell r="B54" t="str">
            <v>Escavação manual em material de 2a categoria</v>
          </cell>
          <cell r="C54" t="str">
            <v>m3</v>
          </cell>
          <cell r="D54">
            <v>10.76</v>
          </cell>
          <cell r="E54">
            <v>3.5</v>
          </cell>
          <cell r="F54">
            <v>14.26</v>
          </cell>
        </row>
        <row r="55">
          <cell r="A55" t="str">
            <v>3 S 04 001 00</v>
          </cell>
          <cell r="B55" t="str">
            <v>Escavação mecaniz. de vala em mater. de 1a cat.</v>
          </cell>
          <cell r="C55" t="str">
            <v>m3</v>
          </cell>
          <cell r="D55">
            <v>2.37</v>
          </cell>
          <cell r="E55">
            <v>0.77</v>
          </cell>
          <cell r="F55">
            <v>3.14</v>
          </cell>
        </row>
        <row r="56">
          <cell r="A56" t="str">
            <v>3 S 04 010 00</v>
          </cell>
          <cell r="B56" t="str">
            <v>Escavação mecaniz.de vala em material de 2a cat.</v>
          </cell>
          <cell r="C56" t="str">
            <v>m3</v>
          </cell>
          <cell r="D56">
            <v>2.96</v>
          </cell>
          <cell r="E56">
            <v>0.96</v>
          </cell>
          <cell r="F56">
            <v>3.93</v>
          </cell>
        </row>
        <row r="57">
          <cell r="A57" t="str">
            <v>3 S 04 020 00</v>
          </cell>
          <cell r="B57" t="str">
            <v>Escavação e carga de material de 3a cat. em valas</v>
          </cell>
          <cell r="C57" t="str">
            <v>m3</v>
          </cell>
          <cell r="D57">
            <v>22.81</v>
          </cell>
          <cell r="E57">
            <v>7.42</v>
          </cell>
          <cell r="F57">
            <v>30.24</v>
          </cell>
        </row>
        <row r="58">
          <cell r="A58" t="str">
            <v>3 S 04 300 16</v>
          </cell>
          <cell r="B58" t="str">
            <v>Bueiro met. chapa múltipla D=1,60m galv.</v>
          </cell>
          <cell r="C58" t="str">
            <v>m</v>
          </cell>
          <cell r="D58">
            <v>1077.76</v>
          </cell>
          <cell r="E58">
            <v>350.81</v>
          </cell>
          <cell r="F58">
            <v>1428.58</v>
          </cell>
        </row>
        <row r="59">
          <cell r="A59" t="str">
            <v>3 S 04 300 20</v>
          </cell>
          <cell r="B59" t="str">
            <v>Bueiro met. chapa múltipla D=2,00m galv.</v>
          </cell>
          <cell r="C59" t="str">
            <v>m</v>
          </cell>
          <cell r="D59">
            <v>1350.4</v>
          </cell>
          <cell r="E59">
            <v>439.55</v>
          </cell>
          <cell r="F59">
            <v>1789.96</v>
          </cell>
        </row>
        <row r="60">
          <cell r="A60" t="str">
            <v>3 S 04 301 16</v>
          </cell>
          <cell r="B60" t="str">
            <v>Bueiro met.chapas múlt. D=1,60 m rev. epoxy</v>
          </cell>
          <cell r="C60" t="str">
            <v>m</v>
          </cell>
          <cell r="D60">
            <v>1157.76</v>
          </cell>
          <cell r="E60">
            <v>376.85</v>
          </cell>
          <cell r="F60">
            <v>1534.62</v>
          </cell>
        </row>
        <row r="61">
          <cell r="A61" t="str">
            <v>3 S 04 301 20</v>
          </cell>
          <cell r="B61" t="str">
            <v>Bueiro met. chapas múlt. D=2,00 m rev. epoxy</v>
          </cell>
          <cell r="C61" t="str">
            <v>m</v>
          </cell>
          <cell r="D61">
            <v>1450.4</v>
          </cell>
          <cell r="E61">
            <v>472.1</v>
          </cell>
          <cell r="F61">
            <v>1922.51</v>
          </cell>
        </row>
        <row r="62">
          <cell r="A62" t="str">
            <v>3 S 04 310 16</v>
          </cell>
          <cell r="B62" t="str">
            <v>Bueiro met. s/interrupção tráf. D=1,60 m galv.</v>
          </cell>
          <cell r="C62" t="str">
            <v>m</v>
          </cell>
          <cell r="D62">
            <v>922.74</v>
          </cell>
          <cell r="E62">
            <v>300.35000000000002</v>
          </cell>
          <cell r="F62">
            <v>1223.0999999999999</v>
          </cell>
        </row>
        <row r="63">
          <cell r="A63" t="str">
            <v>3 S 04 310 20</v>
          </cell>
          <cell r="B63" t="str">
            <v>Bueiro met. s/interrupção tráf. D=2,00 m galv.</v>
          </cell>
          <cell r="C63" t="str">
            <v>m</v>
          </cell>
          <cell r="D63">
            <v>1146.29</v>
          </cell>
          <cell r="E63">
            <v>373.11</v>
          </cell>
          <cell r="F63">
            <v>1519.4</v>
          </cell>
        </row>
        <row r="64">
          <cell r="A64" t="str">
            <v>3 S 04 311 16</v>
          </cell>
          <cell r="B64" t="str">
            <v>Bueiro met.s/interrupção tráf. D=1,60 m rev. epoxy</v>
          </cell>
          <cell r="C64" t="str">
            <v>m</v>
          </cell>
          <cell r="D64">
            <v>1388.54</v>
          </cell>
          <cell r="E64">
            <v>451.97</v>
          </cell>
          <cell r="F64">
            <v>1840.52</v>
          </cell>
        </row>
        <row r="65">
          <cell r="A65" t="str">
            <v>3 S 04 311 20</v>
          </cell>
          <cell r="B65" t="str">
            <v>Bueiro met.s/interrupção tráf. D=2,00 m rev. epoxy</v>
          </cell>
          <cell r="C65" t="str">
            <v>m</v>
          </cell>
          <cell r="D65">
            <v>1227.29</v>
          </cell>
          <cell r="E65">
            <v>399.48</v>
          </cell>
          <cell r="F65">
            <v>1626.77</v>
          </cell>
        </row>
        <row r="66">
          <cell r="A66" t="str">
            <v>3 S 04 590 00</v>
          </cell>
          <cell r="B66" t="str">
            <v>Assentamento de dreno profundo</v>
          </cell>
          <cell r="C66" t="str">
            <v>m</v>
          </cell>
          <cell r="D66">
            <v>18.61</v>
          </cell>
          <cell r="E66">
            <v>6.06</v>
          </cell>
          <cell r="F66">
            <v>24.67</v>
          </cell>
        </row>
        <row r="67">
          <cell r="A67" t="str">
            <v>3 S 04 999 08</v>
          </cell>
          <cell r="B67" t="str">
            <v>Selo de argila apiloado com solo local</v>
          </cell>
          <cell r="C67" t="str">
            <v>m3</v>
          </cell>
          <cell r="D67">
            <v>4.46</v>
          </cell>
          <cell r="E67">
            <v>1.45</v>
          </cell>
          <cell r="F67">
            <v>5.92</v>
          </cell>
        </row>
        <row r="68">
          <cell r="A68" t="str">
            <v>3 S 05 000 00</v>
          </cell>
          <cell r="B68" t="str">
            <v>Enrocamento de pedra arrumada</v>
          </cell>
          <cell r="C68" t="str">
            <v>m3</v>
          </cell>
          <cell r="D68">
            <v>32.64</v>
          </cell>
          <cell r="E68">
            <v>10.62</v>
          </cell>
          <cell r="F68">
            <v>43.27</v>
          </cell>
        </row>
        <row r="69">
          <cell r="A69" t="str">
            <v>3 S 05 001 00</v>
          </cell>
          <cell r="B69" t="str">
            <v>Enrocamento de pedra jogada</v>
          </cell>
          <cell r="C69" t="str">
            <v>m3</v>
          </cell>
          <cell r="D69">
            <v>21.93</v>
          </cell>
          <cell r="E69">
            <v>7.13</v>
          </cell>
          <cell r="F69">
            <v>29.07</v>
          </cell>
        </row>
        <row r="70">
          <cell r="A70" t="str">
            <v>3 S 05 101 01</v>
          </cell>
          <cell r="B70" t="str">
            <v>Revestimento vegetal com mudas</v>
          </cell>
          <cell r="C70" t="str">
            <v>m2</v>
          </cell>
          <cell r="D70">
            <v>1.51</v>
          </cell>
          <cell r="E70">
            <v>0.49</v>
          </cell>
          <cell r="F70">
            <v>2.0099999999999998</v>
          </cell>
        </row>
        <row r="71">
          <cell r="A71" t="str">
            <v>3 S 05 101 02</v>
          </cell>
          <cell r="B71" t="str">
            <v>Revestimento vegetal com grama em leivas</v>
          </cell>
          <cell r="C71" t="str">
            <v>m2</v>
          </cell>
          <cell r="D71">
            <v>1.62</v>
          </cell>
          <cell r="E71">
            <v>0.53</v>
          </cell>
          <cell r="F71">
            <v>2.15</v>
          </cell>
        </row>
        <row r="72">
          <cell r="A72" t="str">
            <v>3 S 08 001 00</v>
          </cell>
          <cell r="B72" t="str">
            <v>Reconformação da plataforma</v>
          </cell>
          <cell r="C72" t="str">
            <v>ha</v>
          </cell>
          <cell r="D72">
            <v>55.22</v>
          </cell>
          <cell r="E72">
            <v>17.97</v>
          </cell>
          <cell r="F72">
            <v>73.19</v>
          </cell>
        </row>
        <row r="73">
          <cell r="A73" t="str">
            <v>3 S 08 100 00</v>
          </cell>
          <cell r="B73" t="str">
            <v>Tapa buraco</v>
          </cell>
          <cell r="C73" t="str">
            <v>m3</v>
          </cell>
          <cell r="D73">
            <v>49.27</v>
          </cell>
          <cell r="E73">
            <v>16.04</v>
          </cell>
          <cell r="F73">
            <v>65.31</v>
          </cell>
        </row>
        <row r="74">
          <cell r="A74" t="str">
            <v>3 S 08 101 01</v>
          </cell>
          <cell r="B74" t="str">
            <v>Remendo profundo com demolição manual</v>
          </cell>
          <cell r="C74" t="str">
            <v>m3</v>
          </cell>
          <cell r="D74">
            <v>57.84</v>
          </cell>
          <cell r="E74">
            <v>18.82</v>
          </cell>
          <cell r="F74">
            <v>76.67</v>
          </cell>
        </row>
        <row r="75">
          <cell r="A75" t="str">
            <v>3 S 08 101 02</v>
          </cell>
          <cell r="B75" t="str">
            <v>Remendo profundo com demolição mecanizada</v>
          </cell>
          <cell r="C75" t="str">
            <v>m3</v>
          </cell>
          <cell r="D75">
            <v>42.59</v>
          </cell>
          <cell r="E75">
            <v>13.86</v>
          </cell>
          <cell r="F75">
            <v>56.45</v>
          </cell>
        </row>
        <row r="76">
          <cell r="A76" t="str">
            <v>3 S 08 102 00</v>
          </cell>
          <cell r="B76" t="str">
            <v>Limpeza ench. juntas pav. concr. a quente (consv)</v>
          </cell>
          <cell r="C76" t="str">
            <v>m</v>
          </cell>
          <cell r="D76">
            <v>0.68</v>
          </cell>
          <cell r="E76">
            <v>0.22</v>
          </cell>
          <cell r="F76">
            <v>0.91</v>
          </cell>
        </row>
        <row r="77">
          <cell r="A77" t="str">
            <v>3 S 08 102 01</v>
          </cell>
          <cell r="B77" t="str">
            <v>Limpeza ench. juntas pav. concr. a frio (consv)</v>
          </cell>
          <cell r="C77" t="str">
            <v>m</v>
          </cell>
          <cell r="D77">
            <v>0.56999999999999995</v>
          </cell>
          <cell r="E77">
            <v>0.18</v>
          </cell>
          <cell r="F77">
            <v>0.76</v>
          </cell>
        </row>
        <row r="78">
          <cell r="A78" t="str">
            <v>3 S 08 103 00</v>
          </cell>
          <cell r="B78" t="str">
            <v>Selagem de trinca</v>
          </cell>
          <cell r="C78" t="str">
            <v>l</v>
          </cell>
          <cell r="D78">
            <v>0.43</v>
          </cell>
          <cell r="E78">
            <v>0.14000000000000001</v>
          </cell>
          <cell r="F78">
            <v>0.56999999999999995</v>
          </cell>
        </row>
        <row r="79">
          <cell r="A79" t="str">
            <v>3 S 08 104 01</v>
          </cell>
          <cell r="B79" t="str">
            <v>Combate à exsudação com areia</v>
          </cell>
          <cell r="C79" t="str">
            <v>m2</v>
          </cell>
          <cell r="D79">
            <v>0.15</v>
          </cell>
          <cell r="E79">
            <v>0.04</v>
          </cell>
          <cell r="F79">
            <v>0.2</v>
          </cell>
        </row>
        <row r="80">
          <cell r="A80" t="str">
            <v>3 S 08 104 02</v>
          </cell>
          <cell r="B80" t="str">
            <v>Combate à exsudação com pedrisco</v>
          </cell>
          <cell r="C80" t="str">
            <v>m2</v>
          </cell>
          <cell r="D80">
            <v>0.18</v>
          </cell>
          <cell r="E80">
            <v>0.06</v>
          </cell>
          <cell r="F80">
            <v>0.24</v>
          </cell>
        </row>
        <row r="81">
          <cell r="A81" t="str">
            <v>3 S 08 109 00</v>
          </cell>
          <cell r="B81" t="str">
            <v>Correção de defeitos com mistura betuminosa</v>
          </cell>
          <cell r="C81" t="str">
            <v>m3</v>
          </cell>
          <cell r="D81">
            <v>30.73</v>
          </cell>
          <cell r="E81">
            <v>10</v>
          </cell>
          <cell r="F81">
            <v>40.74</v>
          </cell>
        </row>
        <row r="82">
          <cell r="A82" t="str">
            <v>3 S 08 109 12</v>
          </cell>
          <cell r="B82" t="str">
            <v>Correção de defeitos por fresagem descontínua</v>
          </cell>
          <cell r="C82" t="str">
            <v>m3</v>
          </cell>
          <cell r="D82">
            <v>64.209999999999994</v>
          </cell>
          <cell r="E82">
            <v>20.9</v>
          </cell>
          <cell r="F82">
            <v>85.11</v>
          </cell>
        </row>
        <row r="83">
          <cell r="A83" t="str">
            <v>3 S 08 110 00</v>
          </cell>
          <cell r="B83" t="str">
            <v>Correção de defeitos por penetração</v>
          </cell>
          <cell r="C83" t="str">
            <v>m2</v>
          </cell>
          <cell r="D83">
            <v>3.4</v>
          </cell>
          <cell r="E83">
            <v>1.1000000000000001</v>
          </cell>
          <cell r="F83">
            <v>4.51</v>
          </cell>
        </row>
        <row r="84">
          <cell r="A84" t="str">
            <v>3 S 08 200 00</v>
          </cell>
          <cell r="B84" t="str">
            <v>Recomp. de guarda corpo</v>
          </cell>
          <cell r="C84" t="str">
            <v>m</v>
          </cell>
          <cell r="D84">
            <v>28.12</v>
          </cell>
          <cell r="E84">
            <v>9.15</v>
          </cell>
          <cell r="F84">
            <v>37.270000000000003</v>
          </cell>
        </row>
        <row r="85">
          <cell r="A85" t="str">
            <v>3 S 08 200 01</v>
          </cell>
          <cell r="B85" t="str">
            <v>Recomposição de sarjeta em alvenaria de tijolo</v>
          </cell>
          <cell r="C85" t="str">
            <v>m2</v>
          </cell>
          <cell r="D85">
            <v>13.37</v>
          </cell>
          <cell r="E85">
            <v>4.3499999999999996</v>
          </cell>
          <cell r="F85">
            <v>17.72</v>
          </cell>
        </row>
        <row r="86">
          <cell r="A86" t="str">
            <v>3 S 08 300 01</v>
          </cell>
          <cell r="B86" t="str">
            <v>Limpeza de sarjeta e meio fio</v>
          </cell>
          <cell r="C86" t="str">
            <v>m</v>
          </cell>
          <cell r="D86">
            <v>0.09</v>
          </cell>
          <cell r="E86">
            <v>0.02</v>
          </cell>
          <cell r="F86">
            <v>0.12</v>
          </cell>
        </row>
        <row r="87">
          <cell r="A87" t="str">
            <v>3 S 08 301 01</v>
          </cell>
          <cell r="B87" t="str">
            <v>Limpeza de valeta de corte</v>
          </cell>
          <cell r="C87" t="str">
            <v>m</v>
          </cell>
          <cell r="D87">
            <v>0.13</v>
          </cell>
          <cell r="E87">
            <v>0.04</v>
          </cell>
          <cell r="F87">
            <v>0.18</v>
          </cell>
        </row>
        <row r="88">
          <cell r="A88" t="str">
            <v>3 S 08 301 02</v>
          </cell>
          <cell r="B88" t="str">
            <v>Limpeza de vala de drenagem</v>
          </cell>
          <cell r="C88" t="str">
            <v>m</v>
          </cell>
          <cell r="D88">
            <v>0.54</v>
          </cell>
          <cell r="E88">
            <v>0.17</v>
          </cell>
          <cell r="F88">
            <v>0.72</v>
          </cell>
        </row>
        <row r="89">
          <cell r="A89" t="str">
            <v>3 S 08 301 03</v>
          </cell>
          <cell r="B89" t="str">
            <v>Limpeza de descida d'água</v>
          </cell>
          <cell r="C89" t="str">
            <v>m</v>
          </cell>
          <cell r="D89">
            <v>0.18</v>
          </cell>
          <cell r="E89">
            <v>0.05</v>
          </cell>
          <cell r="F89">
            <v>0.24</v>
          </cell>
        </row>
        <row r="90">
          <cell r="A90" t="str">
            <v>3 S 08 302 01</v>
          </cell>
          <cell r="B90" t="str">
            <v>Limpeza de bueiro</v>
          </cell>
          <cell r="C90" t="str">
            <v>m3</v>
          </cell>
          <cell r="D90">
            <v>3.03</v>
          </cell>
          <cell r="E90">
            <v>0.98</v>
          </cell>
          <cell r="F90">
            <v>4.0199999999999996</v>
          </cell>
        </row>
        <row r="91">
          <cell r="A91" t="str">
            <v>3 S 08 302 02</v>
          </cell>
          <cell r="B91" t="str">
            <v>Desobstrução de bueiro</v>
          </cell>
          <cell r="C91" t="str">
            <v>m3</v>
          </cell>
          <cell r="D91">
            <v>8.8000000000000007</v>
          </cell>
          <cell r="E91">
            <v>2.86</v>
          </cell>
          <cell r="F91">
            <v>11.67</v>
          </cell>
        </row>
        <row r="92">
          <cell r="A92" t="str">
            <v>3 S 08 302 03</v>
          </cell>
          <cell r="B92" t="str">
            <v>Assentamento de tubo D=0,60 m</v>
          </cell>
          <cell r="C92" t="str">
            <v>m</v>
          </cell>
          <cell r="D92">
            <v>55.31</v>
          </cell>
          <cell r="E92">
            <v>18</v>
          </cell>
          <cell r="F92">
            <v>73.319999999999993</v>
          </cell>
        </row>
        <row r="93">
          <cell r="A93" t="str">
            <v>3 S 08 302 04</v>
          </cell>
          <cell r="B93" t="str">
            <v>Assentamento de tubo D=0,80 m</v>
          </cell>
          <cell r="C93" t="str">
            <v>m</v>
          </cell>
          <cell r="D93">
            <v>83.26</v>
          </cell>
          <cell r="E93">
            <v>27.1</v>
          </cell>
          <cell r="F93">
            <v>110.36</v>
          </cell>
        </row>
        <row r="94">
          <cell r="A94" t="str">
            <v>3 S 08 302 05</v>
          </cell>
          <cell r="B94" t="str">
            <v>Assentamento de tubo D=1,0 m</v>
          </cell>
          <cell r="C94" t="str">
            <v>m</v>
          </cell>
          <cell r="D94">
            <v>122.24</v>
          </cell>
          <cell r="E94">
            <v>39.78</v>
          </cell>
          <cell r="F94">
            <v>162.03</v>
          </cell>
        </row>
        <row r="95">
          <cell r="A95" t="str">
            <v>3 S 08 302 06</v>
          </cell>
          <cell r="B95" t="str">
            <v>Assentamento de tubo D=1,20 m</v>
          </cell>
          <cell r="C95" t="str">
            <v>m</v>
          </cell>
          <cell r="D95">
            <v>176.45</v>
          </cell>
          <cell r="E95">
            <v>57.43</v>
          </cell>
          <cell r="F95">
            <v>233.89</v>
          </cell>
        </row>
        <row r="96">
          <cell r="A96" t="str">
            <v>3 S 08 400 00</v>
          </cell>
          <cell r="B96" t="str">
            <v>Limpeza de placa de sinalização</v>
          </cell>
          <cell r="C96" t="str">
            <v>m2</v>
          </cell>
          <cell r="D96">
            <v>1.4</v>
          </cell>
          <cell r="E96">
            <v>0.45</v>
          </cell>
          <cell r="F96">
            <v>1.85</v>
          </cell>
        </row>
        <row r="97">
          <cell r="A97" t="str">
            <v>3 S 08 400 01</v>
          </cell>
          <cell r="B97" t="str">
            <v>Recomposição placa de sinalização</v>
          </cell>
          <cell r="C97" t="str">
            <v>m2</v>
          </cell>
          <cell r="D97">
            <v>5.81</v>
          </cell>
          <cell r="E97">
            <v>1.89</v>
          </cell>
          <cell r="F97">
            <v>7.71</v>
          </cell>
        </row>
        <row r="98">
          <cell r="A98" t="str">
            <v>3 S 08 400 02</v>
          </cell>
          <cell r="B98" t="str">
            <v>Substituição de balizador</v>
          </cell>
          <cell r="C98" t="str">
            <v>un</v>
          </cell>
          <cell r="D98">
            <v>7.5</v>
          </cell>
          <cell r="E98">
            <v>2.44</v>
          </cell>
          <cell r="F98">
            <v>9.94</v>
          </cell>
        </row>
        <row r="99">
          <cell r="A99" t="str">
            <v>3 S 08 401 00</v>
          </cell>
          <cell r="B99" t="str">
            <v>Recomposição de defensa metálica</v>
          </cell>
          <cell r="C99" t="str">
            <v>m</v>
          </cell>
          <cell r="D99">
            <v>92.42</v>
          </cell>
          <cell r="E99">
            <v>30.08</v>
          </cell>
          <cell r="F99">
            <v>122.5</v>
          </cell>
        </row>
        <row r="100">
          <cell r="A100" t="str">
            <v>3 S 08 402 00</v>
          </cell>
          <cell r="B100" t="str">
            <v>Caiação</v>
          </cell>
          <cell r="C100" t="str">
            <v>m2</v>
          </cell>
          <cell r="D100">
            <v>0.45</v>
          </cell>
          <cell r="E100">
            <v>0.14000000000000001</v>
          </cell>
          <cell r="F100">
            <v>0.59</v>
          </cell>
        </row>
        <row r="101">
          <cell r="A101" t="str">
            <v>3 S 08 403 00</v>
          </cell>
          <cell r="B101" t="str">
            <v>Renovação de sinalização horizontal</v>
          </cell>
          <cell r="C101" t="str">
            <v>m2</v>
          </cell>
          <cell r="D101">
            <v>10.43</v>
          </cell>
          <cell r="E101">
            <v>3.39</v>
          </cell>
          <cell r="F101">
            <v>13.83</v>
          </cell>
        </row>
        <row r="102">
          <cell r="A102" t="str">
            <v>3 S 08 404 00</v>
          </cell>
          <cell r="B102" t="str">
            <v>Recomp. tot. cerca c/ mourão de conc. secção quad.</v>
          </cell>
          <cell r="C102" t="str">
            <v>m</v>
          </cell>
          <cell r="D102">
            <v>5.61</v>
          </cell>
          <cell r="E102">
            <v>1.82</v>
          </cell>
          <cell r="F102">
            <v>7.43</v>
          </cell>
        </row>
        <row r="103">
          <cell r="A103" t="str">
            <v>3 S 08 404 01</v>
          </cell>
          <cell r="B103" t="str">
            <v>Recomp. parc. cerca de conc. seção quad. - mourão</v>
          </cell>
          <cell r="C103" t="str">
            <v>m</v>
          </cell>
          <cell r="D103">
            <v>4.7</v>
          </cell>
          <cell r="E103">
            <v>1.53</v>
          </cell>
          <cell r="F103">
            <v>6.24</v>
          </cell>
        </row>
        <row r="104">
          <cell r="A104" t="str">
            <v>3 S 08 404 02</v>
          </cell>
          <cell r="B104" t="str">
            <v>Recomp. parc. cerca c/ mourão de concr.-arame</v>
          </cell>
          <cell r="C104" t="str">
            <v>m</v>
          </cell>
          <cell r="D104">
            <v>1.17</v>
          </cell>
          <cell r="E104">
            <v>0.38</v>
          </cell>
          <cell r="F104">
            <v>1.55</v>
          </cell>
        </row>
        <row r="105">
          <cell r="A105" t="str">
            <v>3 S 08 404 03</v>
          </cell>
          <cell r="B105" t="str">
            <v>Recomp. tot. cerca c/ mourão concr. seção triang.</v>
          </cell>
          <cell r="C105" t="str">
            <v>m</v>
          </cell>
          <cell r="D105">
            <v>4.82</v>
          </cell>
          <cell r="E105">
            <v>1.57</v>
          </cell>
          <cell r="F105">
            <v>6.4</v>
          </cell>
        </row>
        <row r="106">
          <cell r="A106" t="str">
            <v>3 S 08 404 04</v>
          </cell>
          <cell r="B106" t="str">
            <v>Recomp. parc. cerca c/ mourão concr. seção triang.</v>
          </cell>
          <cell r="C106" t="str">
            <v>m</v>
          </cell>
          <cell r="D106">
            <v>4.03</v>
          </cell>
          <cell r="E106">
            <v>1.31</v>
          </cell>
          <cell r="F106">
            <v>5.34</v>
          </cell>
        </row>
        <row r="107">
          <cell r="A107" t="str">
            <v>3 S 08 414 00</v>
          </cell>
          <cell r="B107" t="str">
            <v>Recomposição total de cerca com mourão de madeira</v>
          </cell>
          <cell r="C107" t="str">
            <v>m</v>
          </cell>
          <cell r="D107">
            <v>3.35</v>
          </cell>
          <cell r="E107">
            <v>1.0900000000000001</v>
          </cell>
          <cell r="F107">
            <v>4.4400000000000004</v>
          </cell>
        </row>
        <row r="108">
          <cell r="A108" t="str">
            <v>3 S 08 414 01</v>
          </cell>
          <cell r="B108" t="str">
            <v>Recomposição parcial cerca de madeira - mourão</v>
          </cell>
          <cell r="C108" t="str">
            <v>m</v>
          </cell>
          <cell r="D108">
            <v>2.81</v>
          </cell>
          <cell r="E108">
            <v>0.91</v>
          </cell>
          <cell r="F108">
            <v>3.73</v>
          </cell>
        </row>
        <row r="109">
          <cell r="A109" t="str">
            <v>3 S 08 414 02</v>
          </cell>
          <cell r="B109" t="str">
            <v>Recomp. parcial cerca c/ mourão de madeira - arame</v>
          </cell>
          <cell r="C109" t="str">
            <v>m</v>
          </cell>
          <cell r="D109">
            <v>0.9</v>
          </cell>
          <cell r="E109">
            <v>0.28999999999999998</v>
          </cell>
          <cell r="F109">
            <v>1.19</v>
          </cell>
        </row>
        <row r="110">
          <cell r="A110" t="str">
            <v>3 S 08 500 00</v>
          </cell>
          <cell r="B110" t="str">
            <v>Recomposição manual de aterro</v>
          </cell>
          <cell r="C110" t="str">
            <v>m3</v>
          </cell>
          <cell r="D110">
            <v>23.96</v>
          </cell>
          <cell r="E110">
            <v>7.8</v>
          </cell>
          <cell r="F110">
            <v>31.76</v>
          </cell>
        </row>
        <row r="111">
          <cell r="A111" t="str">
            <v>3 S 08 501 00</v>
          </cell>
          <cell r="B111" t="str">
            <v>Recomposição mecanizada de aterro</v>
          </cell>
          <cell r="C111" t="str">
            <v>m3</v>
          </cell>
          <cell r="D111">
            <v>7.79</v>
          </cell>
          <cell r="E111">
            <v>2.5299999999999998</v>
          </cell>
          <cell r="F111">
            <v>10.33</v>
          </cell>
        </row>
        <row r="112">
          <cell r="A112" t="str">
            <v>3 S 08 510 00</v>
          </cell>
          <cell r="B112" t="str">
            <v>Remoção manual de barreira em solo</v>
          </cell>
          <cell r="C112" t="str">
            <v>m3</v>
          </cell>
          <cell r="D112">
            <v>5.96</v>
          </cell>
          <cell r="E112">
            <v>1.94</v>
          </cell>
          <cell r="F112">
            <v>7.9</v>
          </cell>
        </row>
        <row r="113">
          <cell r="A113" t="str">
            <v>3 S 08 510 01</v>
          </cell>
          <cell r="B113" t="str">
            <v>Remoção manual de barreira em rocha</v>
          </cell>
          <cell r="C113" t="str">
            <v>m3</v>
          </cell>
          <cell r="D113">
            <v>7.45</v>
          </cell>
          <cell r="E113">
            <v>2.42</v>
          </cell>
          <cell r="F113">
            <v>9.8699999999999992</v>
          </cell>
        </row>
        <row r="114">
          <cell r="A114" t="str">
            <v>3 S 08 511 00</v>
          </cell>
          <cell r="B114" t="str">
            <v>Remoção mecanizada de barreira - solo</v>
          </cell>
          <cell r="C114" t="str">
            <v>m3</v>
          </cell>
          <cell r="D114">
            <v>1.49</v>
          </cell>
          <cell r="E114">
            <v>0.48</v>
          </cell>
          <cell r="F114">
            <v>1.98</v>
          </cell>
        </row>
        <row r="115">
          <cell r="A115" t="str">
            <v>3 S 08 512 00</v>
          </cell>
          <cell r="B115" t="str">
            <v>Remoção mecanizada de barreira - rocha</v>
          </cell>
          <cell r="C115" t="str">
            <v>m3</v>
          </cell>
          <cell r="D115">
            <v>2.29</v>
          </cell>
          <cell r="E115">
            <v>0.74</v>
          </cell>
          <cell r="F115">
            <v>3.03</v>
          </cell>
        </row>
        <row r="116">
          <cell r="A116" t="str">
            <v>3 S 08 513 00</v>
          </cell>
          <cell r="B116" t="str">
            <v>Remoção de matacões</v>
          </cell>
          <cell r="C116" t="str">
            <v>m3</v>
          </cell>
          <cell r="D116">
            <v>19.13</v>
          </cell>
          <cell r="E116">
            <v>6.22</v>
          </cell>
          <cell r="F116">
            <v>25.36</v>
          </cell>
        </row>
        <row r="117">
          <cell r="A117" t="str">
            <v>3 S 08 900 00</v>
          </cell>
          <cell r="B117" t="str">
            <v>Roçada manual</v>
          </cell>
          <cell r="C117" t="str">
            <v>ha</v>
          </cell>
          <cell r="D117">
            <v>252.79</v>
          </cell>
          <cell r="E117">
            <v>82.28</v>
          </cell>
          <cell r="F117">
            <v>335.07</v>
          </cell>
        </row>
        <row r="118">
          <cell r="A118" t="str">
            <v>3 S 08 900 01</v>
          </cell>
          <cell r="B118" t="str">
            <v>Roçada de capim colonião</v>
          </cell>
          <cell r="C118" t="str">
            <v>ha</v>
          </cell>
          <cell r="D118">
            <v>606.70000000000005</v>
          </cell>
          <cell r="E118">
            <v>197.48</v>
          </cell>
          <cell r="F118">
            <v>804.18</v>
          </cell>
        </row>
        <row r="119">
          <cell r="A119" t="str">
            <v>3 S 08 901 00</v>
          </cell>
          <cell r="B119" t="str">
            <v>Roçada mecanizada</v>
          </cell>
          <cell r="C119" t="str">
            <v>ha</v>
          </cell>
          <cell r="D119">
            <v>83</v>
          </cell>
          <cell r="E119">
            <v>27.01</v>
          </cell>
          <cell r="F119">
            <v>110.02</v>
          </cell>
        </row>
        <row r="120">
          <cell r="A120" t="str">
            <v>3 S 08 901 01</v>
          </cell>
          <cell r="B120" t="str">
            <v>Corte e limpeza de áreas gramadas</v>
          </cell>
          <cell r="C120" t="str">
            <v>m2</v>
          </cell>
          <cell r="D120">
            <v>0.02</v>
          </cell>
          <cell r="E120">
            <v>0</v>
          </cell>
          <cell r="F120">
            <v>0.03</v>
          </cell>
        </row>
        <row r="121">
          <cell r="A121" t="str">
            <v>3 S 08 910 00</v>
          </cell>
          <cell r="B121" t="str">
            <v>Capina manual</v>
          </cell>
          <cell r="C121" t="str">
            <v>m2</v>
          </cell>
          <cell r="D121">
            <v>0.1</v>
          </cell>
          <cell r="E121">
            <v>0.03</v>
          </cell>
          <cell r="F121">
            <v>0.13</v>
          </cell>
        </row>
        <row r="122">
          <cell r="A122" t="str">
            <v>3 S 09 001 00</v>
          </cell>
          <cell r="B122" t="str">
            <v>Transporte local c/ basc. 5m3 em rodov. não pav.</v>
          </cell>
          <cell r="C122" t="str">
            <v>tkm</v>
          </cell>
          <cell r="D122">
            <v>0.25</v>
          </cell>
          <cell r="E122">
            <v>0.08</v>
          </cell>
          <cell r="F122">
            <v>0.33</v>
          </cell>
        </row>
        <row r="123">
          <cell r="A123" t="str">
            <v>3 S 09 001 06</v>
          </cell>
          <cell r="B123" t="str">
            <v>Transporte local c/ basc. 10m3 em rodov. não pav.</v>
          </cell>
          <cell r="C123" t="str">
            <v>tkm</v>
          </cell>
          <cell r="D123">
            <v>0.23</v>
          </cell>
          <cell r="E123">
            <v>7.0000000000000007E-2</v>
          </cell>
          <cell r="F123">
            <v>0.3</v>
          </cell>
        </row>
        <row r="124">
          <cell r="A124" t="str">
            <v>3 S 09 001 41</v>
          </cell>
          <cell r="B124" t="str">
            <v>Transp. local c/ carroceria 4t em rodov. não pav.</v>
          </cell>
          <cell r="C124" t="str">
            <v>tkm</v>
          </cell>
          <cell r="D124">
            <v>0.35</v>
          </cell>
          <cell r="E124">
            <v>0.11</v>
          </cell>
          <cell r="F124">
            <v>0.46</v>
          </cell>
        </row>
        <row r="125">
          <cell r="A125" t="str">
            <v>3 S 09 001 90</v>
          </cell>
          <cell r="B125" t="str">
            <v>Transporte comercial c/ carroc. rodov. não pav.</v>
          </cell>
          <cell r="C125" t="str">
            <v>tkm</v>
          </cell>
          <cell r="D125">
            <v>0.15</v>
          </cell>
          <cell r="E125">
            <v>0.04</v>
          </cell>
          <cell r="F125">
            <v>0.2</v>
          </cell>
        </row>
        <row r="126">
          <cell r="A126" t="str">
            <v>3 S 09 002 00</v>
          </cell>
          <cell r="B126" t="str">
            <v>Transporte local basc. 5m3 em rodov. pav.</v>
          </cell>
          <cell r="C126" t="str">
            <v>tkm</v>
          </cell>
          <cell r="D126">
            <v>0.2</v>
          </cell>
          <cell r="E126">
            <v>0.06</v>
          </cell>
          <cell r="F126">
            <v>0.26</v>
          </cell>
        </row>
        <row r="127">
          <cell r="A127" t="str">
            <v>3 S 09 002 03</v>
          </cell>
          <cell r="B127" t="str">
            <v>Transporte local de material para remendos</v>
          </cell>
          <cell r="C127" t="str">
            <v>tkm</v>
          </cell>
          <cell r="D127">
            <v>0.3</v>
          </cell>
          <cell r="E127">
            <v>0.09</v>
          </cell>
          <cell r="F127">
            <v>0.4</v>
          </cell>
        </row>
        <row r="128">
          <cell r="A128" t="str">
            <v>3 S 09 002 06</v>
          </cell>
          <cell r="B128" t="str">
            <v>Transporte local c/ basc. 10m3 em rodov. pav.</v>
          </cell>
          <cell r="C128" t="str">
            <v>tkm</v>
          </cell>
          <cell r="D128">
            <v>0.17</v>
          </cell>
          <cell r="E128">
            <v>0.05</v>
          </cell>
          <cell r="F128">
            <v>0.23</v>
          </cell>
        </row>
        <row r="129">
          <cell r="A129" t="str">
            <v>3 S 09 002 41</v>
          </cell>
          <cell r="B129" t="str">
            <v>Transp. local c/ carroceria 4t em rodov. pav.</v>
          </cell>
          <cell r="C129" t="str">
            <v>tkm</v>
          </cell>
          <cell r="D129">
            <v>0.27</v>
          </cell>
          <cell r="E129">
            <v>0.09</v>
          </cell>
          <cell r="F129">
            <v>0.36</v>
          </cell>
        </row>
        <row r="130">
          <cell r="A130" t="str">
            <v>3 S 09 002 90</v>
          </cell>
          <cell r="B130" t="str">
            <v>Transporte comercial c/ carroceria rodov. pav.</v>
          </cell>
          <cell r="C130" t="str">
            <v>tkm</v>
          </cell>
          <cell r="D130">
            <v>0.1</v>
          </cell>
          <cell r="E130">
            <v>0.03</v>
          </cell>
          <cell r="F130">
            <v>0.13</v>
          </cell>
        </row>
        <row r="131">
          <cell r="A131" t="str">
            <v>3 S 09 102 00</v>
          </cell>
          <cell r="B131" t="str">
            <v>Transporte local material betuminoso</v>
          </cell>
          <cell r="C131" t="str">
            <v>tkm</v>
          </cell>
          <cell r="D131">
            <v>0.5</v>
          </cell>
          <cell r="E131">
            <v>0.16</v>
          </cell>
          <cell r="F131">
            <v>0.66</v>
          </cell>
        </row>
        <row r="132">
          <cell r="A132" t="str">
            <v>3 S 09 201 70</v>
          </cell>
          <cell r="B132" t="str">
            <v>Transp. local água c/ cam. tanque rodov. não pav.</v>
          </cell>
          <cell r="C132" t="str">
            <v>tkm</v>
          </cell>
          <cell r="D132">
            <v>0.48</v>
          </cell>
          <cell r="E132">
            <v>0.15</v>
          </cell>
          <cell r="F132">
            <v>0.64</v>
          </cell>
        </row>
        <row r="133">
          <cell r="A133" t="str">
            <v>3 S 09 202 70</v>
          </cell>
          <cell r="B133" t="str">
            <v>Transp. local água c/ cam. tanque em rodov. pav.</v>
          </cell>
          <cell r="C133" t="str">
            <v>tkm</v>
          </cell>
          <cell r="D133">
            <v>0.38</v>
          </cell>
          <cell r="E133">
            <v>0.12</v>
          </cell>
          <cell r="F133">
            <v>0.5</v>
          </cell>
        </row>
        <row r="134">
          <cell r="A134" t="str">
            <v>5 S 02 511 01</v>
          </cell>
          <cell r="B134" t="str">
            <v>Micro-revestimento a frio - Microflex 0,8cm</v>
          </cell>
          <cell r="C134" t="str">
            <v>m2</v>
          </cell>
          <cell r="D134">
            <v>0.62</v>
          </cell>
          <cell r="E134">
            <v>0.2</v>
          </cell>
          <cell r="F134">
            <v>0.82</v>
          </cell>
        </row>
      </sheetData>
      <sheetData sheetId="18" refreshError="1"/>
      <sheetData sheetId="19" refreshError="1">
        <row r="3">
          <cell r="A3" t="str">
            <v>AM01</v>
          </cell>
          <cell r="B3" t="str">
            <v>Aço D=4,2 mm CA 25</v>
          </cell>
          <cell r="C3" t="str">
            <v>kg</v>
          </cell>
          <cell r="D3">
            <v>0.95</v>
          </cell>
          <cell r="E3" t="str">
            <v>kg</v>
          </cell>
          <cell r="F3">
            <v>0.95</v>
          </cell>
        </row>
        <row r="4">
          <cell r="A4" t="str">
            <v>AM02</v>
          </cell>
          <cell r="B4" t="str">
            <v>Aço D=6,3 mm CA 25</v>
          </cell>
          <cell r="C4" t="str">
            <v>kg</v>
          </cell>
          <cell r="D4">
            <v>0.9</v>
          </cell>
          <cell r="E4" t="str">
            <v>kg</v>
          </cell>
          <cell r="F4">
            <v>0.9</v>
          </cell>
        </row>
        <row r="5">
          <cell r="A5" t="str">
            <v>AM03</v>
          </cell>
          <cell r="B5" t="str">
            <v>Aço D=10 mm CA 25</v>
          </cell>
          <cell r="C5" t="str">
            <v>kg</v>
          </cell>
          <cell r="D5">
            <v>0.84</v>
          </cell>
          <cell r="E5" t="str">
            <v>kg</v>
          </cell>
          <cell r="F5">
            <v>0.84</v>
          </cell>
        </row>
        <row r="6">
          <cell r="A6" t="str">
            <v>AM04</v>
          </cell>
          <cell r="B6" t="str">
            <v>Aço D=6,3 mm CA 50</v>
          </cell>
          <cell r="C6" t="str">
            <v>kg</v>
          </cell>
          <cell r="D6">
            <v>0.95</v>
          </cell>
          <cell r="E6" t="str">
            <v>kg</v>
          </cell>
          <cell r="F6">
            <v>0.95</v>
          </cell>
        </row>
        <row r="7">
          <cell r="A7" t="str">
            <v>AM05</v>
          </cell>
          <cell r="B7" t="str">
            <v>Aço D=10 mm CA 50</v>
          </cell>
          <cell r="C7" t="str">
            <v>kg</v>
          </cell>
          <cell r="D7">
            <v>0.84</v>
          </cell>
          <cell r="E7" t="str">
            <v>kg</v>
          </cell>
          <cell r="F7">
            <v>0.84</v>
          </cell>
        </row>
        <row r="8">
          <cell r="A8" t="str">
            <v>AM06</v>
          </cell>
          <cell r="B8" t="str">
            <v>Aço D=4,2 mm CA 60</v>
          </cell>
          <cell r="C8" t="str">
            <v>kg</v>
          </cell>
          <cell r="D8">
            <v>0.98</v>
          </cell>
          <cell r="E8" t="str">
            <v>kg</v>
          </cell>
          <cell r="F8">
            <v>0.98</v>
          </cell>
        </row>
        <row r="9">
          <cell r="A9" t="str">
            <v>AM07</v>
          </cell>
          <cell r="B9" t="str">
            <v>Aço D=5,0 mm CA 60</v>
          </cell>
          <cell r="C9" t="str">
            <v>kg</v>
          </cell>
          <cell r="D9">
            <v>0.97</v>
          </cell>
          <cell r="E9" t="str">
            <v>kg</v>
          </cell>
          <cell r="F9">
            <v>0.97</v>
          </cell>
        </row>
        <row r="10">
          <cell r="A10" t="str">
            <v>AM08</v>
          </cell>
          <cell r="B10" t="str">
            <v>Aço D=6,0 mm CA 60</v>
          </cell>
          <cell r="C10" t="str">
            <v>kg</v>
          </cell>
          <cell r="D10">
            <v>0.97</v>
          </cell>
          <cell r="E10" t="str">
            <v>kg</v>
          </cell>
          <cell r="F10">
            <v>0.97</v>
          </cell>
        </row>
        <row r="11">
          <cell r="A11" t="str">
            <v>AM09</v>
          </cell>
          <cell r="B11" t="str">
            <v>Mandíbula móvel p/ britador 6240C</v>
          </cell>
          <cell r="C11" t="str">
            <v>un</v>
          </cell>
          <cell r="D11">
            <v>991.2</v>
          </cell>
          <cell r="E11" t="str">
            <v>u/h</v>
          </cell>
          <cell r="F11">
            <v>4.5888999999999998</v>
          </cell>
        </row>
        <row r="12">
          <cell r="A12" t="str">
            <v>AM10</v>
          </cell>
          <cell r="B12" t="str">
            <v>Mandíbula fixa p/ britador 6240C</v>
          </cell>
          <cell r="C12" t="str">
            <v>un</v>
          </cell>
          <cell r="D12">
            <v>1050</v>
          </cell>
          <cell r="E12" t="str">
            <v>u/h</v>
          </cell>
          <cell r="F12">
            <v>7.8947000000000003</v>
          </cell>
        </row>
        <row r="13">
          <cell r="A13" t="str">
            <v>AM11</v>
          </cell>
          <cell r="B13" t="str">
            <v>Revestimento móvel p/ britador 60TS</v>
          </cell>
          <cell r="C13" t="str">
            <v>un</v>
          </cell>
          <cell r="D13">
            <v>904.04</v>
          </cell>
          <cell r="E13" t="str">
            <v>u/h</v>
          </cell>
          <cell r="F13">
            <v>2.3727999999999998</v>
          </cell>
        </row>
        <row r="14">
          <cell r="A14" t="str">
            <v>AM12</v>
          </cell>
          <cell r="B14" t="str">
            <v>Revestimento fixo p/ britador 60TS</v>
          </cell>
          <cell r="C14" t="str">
            <v>un</v>
          </cell>
          <cell r="D14">
            <v>1214.8599999999999</v>
          </cell>
          <cell r="E14" t="str">
            <v>u/h</v>
          </cell>
          <cell r="F14">
            <v>3.0756000000000001</v>
          </cell>
        </row>
        <row r="15">
          <cell r="A15" t="str">
            <v>AM19</v>
          </cell>
          <cell r="B15" t="str">
            <v>Mandíbula fixa p/ britador 4230</v>
          </cell>
          <cell r="C15" t="str">
            <v>un</v>
          </cell>
          <cell r="D15">
            <v>476.7</v>
          </cell>
          <cell r="E15" t="str">
            <v>u/h</v>
          </cell>
          <cell r="F15">
            <v>3.1779999999999999</v>
          </cell>
        </row>
        <row r="16">
          <cell r="A16" t="str">
            <v>AM20</v>
          </cell>
          <cell r="B16" t="str">
            <v>Mandíbula móvel p/ britador 4230</v>
          </cell>
          <cell r="C16" t="str">
            <v>un</v>
          </cell>
          <cell r="D16">
            <v>476.7</v>
          </cell>
          <cell r="E16" t="str">
            <v>u/h</v>
          </cell>
          <cell r="F16">
            <v>4.7670000000000003</v>
          </cell>
        </row>
        <row r="17">
          <cell r="A17" t="str">
            <v>AM25</v>
          </cell>
          <cell r="B17" t="str">
            <v>Mandíbula móvel para britador 80x50</v>
          </cell>
          <cell r="C17" t="str">
            <v>un</v>
          </cell>
          <cell r="D17">
            <v>2415</v>
          </cell>
          <cell r="E17" t="str">
            <v>u/h</v>
          </cell>
          <cell r="F17">
            <v>9.66</v>
          </cell>
        </row>
        <row r="18">
          <cell r="A18" t="str">
            <v>AM26</v>
          </cell>
          <cell r="B18" t="str">
            <v>Mandíbula fixa para britador 80x50</v>
          </cell>
          <cell r="C18" t="str">
            <v>un</v>
          </cell>
          <cell r="D18">
            <v>2261.69</v>
          </cell>
          <cell r="E18" t="str">
            <v>u/h</v>
          </cell>
          <cell r="F18">
            <v>5.1755000000000004</v>
          </cell>
        </row>
        <row r="19">
          <cell r="A19" t="str">
            <v>AM27</v>
          </cell>
          <cell r="B19" t="str">
            <v>Revestimento móvel p/ britador 90TS</v>
          </cell>
          <cell r="C19" t="str">
            <v>un</v>
          </cell>
          <cell r="D19">
            <v>1653.77</v>
          </cell>
          <cell r="E19" t="str">
            <v>u/h</v>
          </cell>
          <cell r="F19">
            <v>4.8928000000000003</v>
          </cell>
        </row>
        <row r="20">
          <cell r="A20" t="str">
            <v>AM28</v>
          </cell>
          <cell r="B20" t="str">
            <v>Revestimento fixo p/ britador 90TS</v>
          </cell>
          <cell r="C20" t="str">
            <v>un</v>
          </cell>
          <cell r="D20">
            <v>2144.12</v>
          </cell>
          <cell r="E20" t="str">
            <v>u/h</v>
          </cell>
          <cell r="F20">
            <v>4.8730000000000002</v>
          </cell>
        </row>
        <row r="21">
          <cell r="A21" t="str">
            <v>AM29</v>
          </cell>
          <cell r="B21" t="str">
            <v>Revestimento móvel p/ britador 90TF</v>
          </cell>
          <cell r="C21" t="str">
            <v>un</v>
          </cell>
          <cell r="D21">
            <v>1417.5</v>
          </cell>
          <cell r="E21" t="str">
            <v>u/h</v>
          </cell>
          <cell r="F21">
            <v>14.318199999999999</v>
          </cell>
        </row>
        <row r="22">
          <cell r="A22" t="str">
            <v>AM30</v>
          </cell>
          <cell r="B22" t="str">
            <v>Revestimento fixo p/ britador 90TF</v>
          </cell>
          <cell r="C22" t="str">
            <v>un</v>
          </cell>
          <cell r="D22">
            <v>1375.5</v>
          </cell>
          <cell r="E22" t="str">
            <v>u/h</v>
          </cell>
          <cell r="F22">
            <v>11.004</v>
          </cell>
        </row>
        <row r="23">
          <cell r="A23" t="str">
            <v>AM35</v>
          </cell>
          <cell r="B23" t="str">
            <v>Brita 1</v>
          </cell>
          <cell r="C23" t="str">
            <v>m3</v>
          </cell>
          <cell r="D23">
            <v>25</v>
          </cell>
          <cell r="E23" t="str">
            <v>m3</v>
          </cell>
          <cell r="F23">
            <v>25</v>
          </cell>
        </row>
        <row r="24">
          <cell r="A24" t="str">
            <v>AM36</v>
          </cell>
          <cell r="B24" t="str">
            <v>Brita 2</v>
          </cell>
          <cell r="C24" t="str">
            <v>m3</v>
          </cell>
          <cell r="D24">
            <v>25</v>
          </cell>
          <cell r="E24" t="str">
            <v>m3</v>
          </cell>
          <cell r="F24">
            <v>25</v>
          </cell>
        </row>
        <row r="25">
          <cell r="A25" t="str">
            <v>AM37</v>
          </cell>
          <cell r="B25" t="str">
            <v>Brita 3</v>
          </cell>
          <cell r="C25" t="str">
            <v>m3</v>
          </cell>
          <cell r="D25">
            <v>25</v>
          </cell>
          <cell r="E25" t="str">
            <v>m3</v>
          </cell>
          <cell r="F25">
            <v>25</v>
          </cell>
        </row>
        <row r="26">
          <cell r="A26" t="str">
            <v>F801</v>
          </cell>
          <cell r="B26" t="str">
            <v>Bomba hidráulica alta pressão MAC</v>
          </cell>
          <cell r="C26" t="str">
            <v>dia</v>
          </cell>
          <cell r="D26">
            <v>288</v>
          </cell>
          <cell r="E26" t="str">
            <v>h</v>
          </cell>
          <cell r="F26">
            <v>36</v>
          </cell>
        </row>
        <row r="27">
          <cell r="A27" t="str">
            <v>F802</v>
          </cell>
          <cell r="B27" t="str">
            <v>Bomba eletr p/ injeção de nata MAC</v>
          </cell>
          <cell r="C27" t="str">
            <v>dia</v>
          </cell>
          <cell r="D27">
            <v>203.52</v>
          </cell>
          <cell r="E27" t="str">
            <v>h</v>
          </cell>
          <cell r="F27">
            <v>25.44</v>
          </cell>
        </row>
        <row r="28">
          <cell r="A28" t="str">
            <v>F803</v>
          </cell>
          <cell r="B28" t="str">
            <v>Macaco p/ protensão MAC 7</v>
          </cell>
          <cell r="C28" t="str">
            <v>dia</v>
          </cell>
          <cell r="D28">
            <v>186.97</v>
          </cell>
          <cell r="E28" t="str">
            <v>h</v>
          </cell>
          <cell r="F28">
            <v>23.371200000000002</v>
          </cell>
        </row>
        <row r="29">
          <cell r="A29" t="str">
            <v>F804</v>
          </cell>
          <cell r="B29" t="str">
            <v>Macaco p/ protensão MAC 12</v>
          </cell>
          <cell r="C29" t="str">
            <v>dia</v>
          </cell>
          <cell r="D29">
            <v>186.41</v>
          </cell>
          <cell r="E29" t="str">
            <v>h</v>
          </cell>
          <cell r="F29">
            <v>23.301200000000001</v>
          </cell>
        </row>
        <row r="30">
          <cell r="A30" t="str">
            <v>F805</v>
          </cell>
          <cell r="B30" t="str">
            <v>Macaco p/ protensão MAC 4</v>
          </cell>
          <cell r="C30" t="str">
            <v>dia</v>
          </cell>
          <cell r="D30">
            <v>183.45</v>
          </cell>
          <cell r="E30" t="str">
            <v>h</v>
          </cell>
          <cell r="F30">
            <v>22.9312</v>
          </cell>
        </row>
        <row r="31">
          <cell r="A31" t="str">
            <v>F807</v>
          </cell>
          <cell r="B31" t="str">
            <v>Bomba hidr. alta pressão STUP</v>
          </cell>
          <cell r="C31" t="str">
            <v>dia</v>
          </cell>
          <cell r="D31">
            <v>375</v>
          </cell>
          <cell r="E31" t="str">
            <v>h</v>
          </cell>
          <cell r="F31">
            <v>46.875</v>
          </cell>
        </row>
        <row r="32">
          <cell r="A32" t="str">
            <v>F808</v>
          </cell>
          <cell r="B32" t="str">
            <v>Bomba eletr. injeção de nata STUP</v>
          </cell>
          <cell r="C32" t="str">
            <v>dia</v>
          </cell>
          <cell r="D32">
            <v>385</v>
          </cell>
          <cell r="E32" t="str">
            <v>h</v>
          </cell>
          <cell r="F32">
            <v>48.125</v>
          </cell>
        </row>
        <row r="33">
          <cell r="A33" t="str">
            <v>F809</v>
          </cell>
          <cell r="B33" t="str">
            <v>Macaco p/ protensão STUP</v>
          </cell>
          <cell r="C33" t="str">
            <v>dia</v>
          </cell>
          <cell r="D33">
            <v>368</v>
          </cell>
          <cell r="E33" t="str">
            <v>h</v>
          </cell>
          <cell r="F33">
            <v>46</v>
          </cell>
        </row>
        <row r="34">
          <cell r="A34" t="str">
            <v>F810</v>
          </cell>
          <cell r="B34" t="str">
            <v>Macaco p/ protensão STUP</v>
          </cell>
          <cell r="C34" t="str">
            <v>dia</v>
          </cell>
          <cell r="D34">
            <v>378</v>
          </cell>
          <cell r="E34" t="str">
            <v>h</v>
          </cell>
          <cell r="F34">
            <v>47.25</v>
          </cell>
        </row>
        <row r="35">
          <cell r="A35" t="str">
            <v>F811</v>
          </cell>
          <cell r="B35" t="str">
            <v>Macaco p/ protensão STUP</v>
          </cell>
          <cell r="C35" t="str">
            <v>dia</v>
          </cell>
          <cell r="D35">
            <v>426</v>
          </cell>
          <cell r="E35" t="str">
            <v>h</v>
          </cell>
          <cell r="F35">
            <v>53.25</v>
          </cell>
        </row>
        <row r="36">
          <cell r="A36" t="str">
            <v>F812</v>
          </cell>
          <cell r="B36" t="str">
            <v>Macaco p/ protensão STUP</v>
          </cell>
          <cell r="C36" t="str">
            <v>dia</v>
          </cell>
          <cell r="D36">
            <v>352</v>
          </cell>
          <cell r="E36" t="str">
            <v>h</v>
          </cell>
          <cell r="F36">
            <v>44</v>
          </cell>
        </row>
        <row r="37">
          <cell r="A37" t="str">
            <v>F813</v>
          </cell>
          <cell r="B37" t="str">
            <v>Macaco p/ prot. de tirante D=32mm</v>
          </cell>
          <cell r="C37" t="str">
            <v>dia</v>
          </cell>
          <cell r="D37">
            <v>36.75</v>
          </cell>
          <cell r="E37" t="str">
            <v>h</v>
          </cell>
          <cell r="F37">
            <v>4.5937999999999999</v>
          </cell>
        </row>
        <row r="38">
          <cell r="A38" t="str">
            <v>F814</v>
          </cell>
          <cell r="B38" t="str">
            <v>Injeção de nata de cimento</v>
          </cell>
          <cell r="C38" t="str">
            <v>m</v>
          </cell>
          <cell r="D38">
            <v>4.09</v>
          </cell>
          <cell r="E38" t="str">
            <v>m</v>
          </cell>
          <cell r="F38">
            <v>4.09</v>
          </cell>
        </row>
        <row r="39">
          <cell r="A39" t="str">
            <v>F943</v>
          </cell>
          <cell r="B39" t="str">
            <v>Terra Armada - moldes metálicos</v>
          </cell>
          <cell r="C39" t="str">
            <v>cj</v>
          </cell>
          <cell r="D39">
            <v>0.51</v>
          </cell>
          <cell r="E39" t="str">
            <v>cj</v>
          </cell>
          <cell r="F39">
            <v>0.51</v>
          </cell>
        </row>
        <row r="40">
          <cell r="A40" t="str">
            <v>M001</v>
          </cell>
          <cell r="B40" t="str">
            <v>Gasolina</v>
          </cell>
          <cell r="C40" t="str">
            <v>l</v>
          </cell>
          <cell r="D40">
            <v>1.66</v>
          </cell>
          <cell r="E40" t="str">
            <v>l</v>
          </cell>
          <cell r="F40">
            <v>1.66</v>
          </cell>
        </row>
        <row r="41">
          <cell r="A41" t="str">
            <v>M002</v>
          </cell>
          <cell r="B41" t="str">
            <v>Diesel</v>
          </cell>
          <cell r="C41" t="str">
            <v>l</v>
          </cell>
          <cell r="D41">
            <v>0.87</v>
          </cell>
          <cell r="E41" t="str">
            <v>l</v>
          </cell>
          <cell r="F41">
            <v>0.87</v>
          </cell>
        </row>
        <row r="42">
          <cell r="A42" t="str">
            <v>M003</v>
          </cell>
          <cell r="B42" t="str">
            <v>Óleo combustível 1A</v>
          </cell>
          <cell r="C42" t="str">
            <v>l</v>
          </cell>
          <cell r="D42">
            <v>0.46</v>
          </cell>
          <cell r="E42" t="str">
            <v>l</v>
          </cell>
          <cell r="F42">
            <v>0.46479999999999999</v>
          </cell>
        </row>
        <row r="43">
          <cell r="A43" t="str">
            <v>M004</v>
          </cell>
          <cell r="B43" t="str">
            <v>Álcool</v>
          </cell>
          <cell r="C43" t="str">
            <v>l</v>
          </cell>
          <cell r="D43">
            <v>1.19</v>
          </cell>
          <cell r="E43" t="str">
            <v>l</v>
          </cell>
          <cell r="F43">
            <v>1.19</v>
          </cell>
        </row>
        <row r="44">
          <cell r="A44" t="str">
            <v>M005</v>
          </cell>
          <cell r="B44" t="str">
            <v>Energia elétrica</v>
          </cell>
          <cell r="C44" t="str">
            <v>kwh</v>
          </cell>
          <cell r="D44">
            <v>0.21</v>
          </cell>
          <cell r="E44" t="str">
            <v>kwh</v>
          </cell>
          <cell r="F44">
            <v>0.21010000000000001</v>
          </cell>
        </row>
        <row r="45">
          <cell r="A45" t="str">
            <v>M101</v>
          </cell>
          <cell r="B45" t="str">
            <v>Cimento asfáltico CAP-20</v>
          </cell>
          <cell r="C45" t="str">
            <v>t</v>
          </cell>
          <cell r="D45">
            <v>0</v>
          </cell>
          <cell r="E45" t="str">
            <v>t</v>
          </cell>
          <cell r="F45">
            <v>0</v>
          </cell>
        </row>
        <row r="46">
          <cell r="A46" t="str">
            <v>M102</v>
          </cell>
          <cell r="B46" t="str">
            <v>Cimento asfáltico CAP-40</v>
          </cell>
          <cell r="C46" t="str">
            <v>t</v>
          </cell>
          <cell r="D46">
            <v>0</v>
          </cell>
          <cell r="E46" t="str">
            <v>t</v>
          </cell>
          <cell r="F46">
            <v>0</v>
          </cell>
        </row>
        <row r="47">
          <cell r="A47" t="str">
            <v>M103</v>
          </cell>
          <cell r="B47" t="str">
            <v>Asfalto diluído CM-30</v>
          </cell>
          <cell r="C47" t="str">
            <v>t</v>
          </cell>
          <cell r="D47">
            <v>784.1</v>
          </cell>
          <cell r="E47" t="str">
            <v>t</v>
          </cell>
          <cell r="F47">
            <v>0</v>
          </cell>
        </row>
        <row r="48">
          <cell r="A48" t="str">
            <v>M104</v>
          </cell>
          <cell r="B48" t="str">
            <v>Emulsão asfáltica RR-1C</v>
          </cell>
          <cell r="C48" t="str">
            <v>t</v>
          </cell>
          <cell r="D48">
            <v>484.1</v>
          </cell>
          <cell r="E48" t="str">
            <v>t</v>
          </cell>
          <cell r="F48">
            <v>0</v>
          </cell>
        </row>
        <row r="49">
          <cell r="A49" t="str">
            <v>M105</v>
          </cell>
          <cell r="B49" t="str">
            <v>Emulsão asfáltica RR-2C</v>
          </cell>
          <cell r="C49" t="str">
            <v>t</v>
          </cell>
          <cell r="D49">
            <v>0</v>
          </cell>
          <cell r="E49" t="str">
            <v>t</v>
          </cell>
          <cell r="F49">
            <v>0</v>
          </cell>
        </row>
        <row r="50">
          <cell r="A50" t="str">
            <v>M106</v>
          </cell>
          <cell r="B50" t="str">
            <v>Cimento asfáltico CAP 7</v>
          </cell>
          <cell r="C50" t="str">
            <v>t</v>
          </cell>
          <cell r="D50">
            <v>0</v>
          </cell>
          <cell r="E50" t="str">
            <v>t</v>
          </cell>
          <cell r="F50">
            <v>0</v>
          </cell>
        </row>
        <row r="51">
          <cell r="A51" t="str">
            <v>M107</v>
          </cell>
          <cell r="B51" t="str">
            <v>Emulsão asfáltica RM-1C</v>
          </cell>
          <cell r="C51" t="str">
            <v>t</v>
          </cell>
          <cell r="D51">
            <v>617.9</v>
          </cell>
          <cell r="E51" t="str">
            <v>t</v>
          </cell>
          <cell r="F51">
            <v>0</v>
          </cell>
        </row>
        <row r="52">
          <cell r="A52" t="str">
            <v>M108</v>
          </cell>
          <cell r="B52" t="str">
            <v>Emulsão asfáltica RM-2C</v>
          </cell>
          <cell r="C52" t="str">
            <v>t</v>
          </cell>
          <cell r="D52">
            <v>662.8</v>
          </cell>
          <cell r="E52" t="str">
            <v>t</v>
          </cell>
          <cell r="F52">
            <v>0</v>
          </cell>
        </row>
        <row r="53">
          <cell r="A53" t="str">
            <v>M109</v>
          </cell>
          <cell r="B53" t="str">
            <v>Emulsão asfáltica RL-1C</v>
          </cell>
          <cell r="C53" t="str">
            <v>t</v>
          </cell>
          <cell r="D53">
            <v>615</v>
          </cell>
          <cell r="E53" t="str">
            <v>t</v>
          </cell>
          <cell r="F53">
            <v>0</v>
          </cell>
        </row>
        <row r="54">
          <cell r="A54" t="str">
            <v>M110</v>
          </cell>
          <cell r="B54" t="str">
            <v>Emulsão polim. p/ micro-rev. a frio</v>
          </cell>
          <cell r="C54" t="str">
            <v>t</v>
          </cell>
          <cell r="D54">
            <v>0</v>
          </cell>
          <cell r="E54" t="str">
            <v>t</v>
          </cell>
          <cell r="F54">
            <v>0</v>
          </cell>
        </row>
        <row r="55">
          <cell r="A55" t="str">
            <v>M111</v>
          </cell>
          <cell r="B55" t="str">
            <v>Aditivo p/ controle de ruptura</v>
          </cell>
          <cell r="C55" t="str">
            <v>kg</v>
          </cell>
          <cell r="D55">
            <v>1.5</v>
          </cell>
          <cell r="E55" t="str">
            <v>kg</v>
          </cell>
          <cell r="F55">
            <v>1.5</v>
          </cell>
        </row>
        <row r="56">
          <cell r="A56" t="str">
            <v>M112</v>
          </cell>
          <cell r="B56" t="str">
            <v>Aditivo sólido (fibras)</v>
          </cell>
          <cell r="C56" t="str">
            <v>kg</v>
          </cell>
          <cell r="D56">
            <v>2.2000000000000002</v>
          </cell>
          <cell r="E56" t="str">
            <v>kg</v>
          </cell>
          <cell r="F56">
            <v>2.2000000000000002</v>
          </cell>
        </row>
        <row r="57">
          <cell r="A57" t="str">
            <v>M114</v>
          </cell>
          <cell r="B57" t="str">
            <v>Agente rejuv. p/ recicl. a quente</v>
          </cell>
          <cell r="C57" t="str">
            <v>t</v>
          </cell>
          <cell r="D57">
            <v>0</v>
          </cell>
          <cell r="E57" t="str">
            <v>t</v>
          </cell>
          <cell r="F57">
            <v>0</v>
          </cell>
        </row>
        <row r="58">
          <cell r="A58" t="str">
            <v>M201</v>
          </cell>
          <cell r="B58" t="str">
            <v>Cimento portland CP-32 (a granel)</v>
          </cell>
          <cell r="C58" t="str">
            <v>kg</v>
          </cell>
          <cell r="D58">
            <v>0.158</v>
          </cell>
          <cell r="E58" t="str">
            <v>kg</v>
          </cell>
          <cell r="F58">
            <v>0.2</v>
          </cell>
        </row>
        <row r="59">
          <cell r="A59" t="str">
            <v>M202</v>
          </cell>
          <cell r="B59" t="str">
            <v>Cimento portland CP-32</v>
          </cell>
          <cell r="C59" t="str">
            <v>kg</v>
          </cell>
          <cell r="D59">
            <v>0.20319999999999999</v>
          </cell>
          <cell r="E59" t="str">
            <v>sc</v>
          </cell>
          <cell r="F59">
            <v>10.16</v>
          </cell>
        </row>
        <row r="60">
          <cell r="A60" t="str">
            <v>M307</v>
          </cell>
          <cell r="B60" t="str">
            <v>Cordoalha CP-190 RB D=12,7mm</v>
          </cell>
          <cell r="C60" t="str">
            <v>kg</v>
          </cell>
          <cell r="D60">
            <v>2</v>
          </cell>
          <cell r="E60" t="str">
            <v>kg</v>
          </cell>
          <cell r="F60">
            <v>2</v>
          </cell>
        </row>
        <row r="61">
          <cell r="A61" t="str">
            <v>M319</v>
          </cell>
          <cell r="B61" t="str">
            <v>Arame recozido nº. 18</v>
          </cell>
          <cell r="C61" t="str">
            <v>kg</v>
          </cell>
          <cell r="D61">
            <v>1.72</v>
          </cell>
          <cell r="E61" t="str">
            <v>kg</v>
          </cell>
          <cell r="F61">
            <v>1.72</v>
          </cell>
        </row>
        <row r="62">
          <cell r="A62" t="str">
            <v>M320</v>
          </cell>
          <cell r="B62" t="str">
            <v>Pregos (18x30)</v>
          </cell>
          <cell r="C62" t="str">
            <v>kg</v>
          </cell>
          <cell r="D62">
            <v>1.46</v>
          </cell>
          <cell r="E62" t="str">
            <v>kg</v>
          </cell>
          <cell r="F62">
            <v>1.46</v>
          </cell>
        </row>
        <row r="63">
          <cell r="A63" t="str">
            <v>M321</v>
          </cell>
          <cell r="B63" t="str">
            <v>Arame farpado nº. 16 galv. simples</v>
          </cell>
          <cell r="C63" t="str">
            <v>m</v>
          </cell>
          <cell r="D63">
            <v>0.09</v>
          </cell>
          <cell r="E63" t="str">
            <v>rl</v>
          </cell>
          <cell r="F63">
            <v>22.5</v>
          </cell>
        </row>
        <row r="64">
          <cell r="A64" t="str">
            <v>M322</v>
          </cell>
          <cell r="B64" t="str">
            <v>Grampo para cerca galvanizado 1 x 9</v>
          </cell>
          <cell r="C64" t="str">
            <v>kg</v>
          </cell>
          <cell r="D64">
            <v>1.85</v>
          </cell>
          <cell r="E64" t="str">
            <v>kg</v>
          </cell>
          <cell r="F64">
            <v>1.85</v>
          </cell>
        </row>
        <row r="65">
          <cell r="A65" t="str">
            <v>M323</v>
          </cell>
          <cell r="B65" t="str">
            <v>Cantoneira de aço 4" x 4" x 3/8"</v>
          </cell>
          <cell r="C65" t="str">
            <v>kg</v>
          </cell>
          <cell r="D65">
            <v>0.88</v>
          </cell>
          <cell r="E65" t="str">
            <v>kg</v>
          </cell>
          <cell r="F65">
            <v>0.88</v>
          </cell>
        </row>
        <row r="66">
          <cell r="A66" t="str">
            <v>M324</v>
          </cell>
          <cell r="B66" t="str">
            <v>Pórtico metálico (15 a 17m de vão)</v>
          </cell>
          <cell r="C66" t="str">
            <v>un</v>
          </cell>
          <cell r="D66">
            <v>13500</v>
          </cell>
          <cell r="E66" t="str">
            <v>un</v>
          </cell>
          <cell r="F66">
            <v>13500</v>
          </cell>
        </row>
        <row r="67">
          <cell r="A67" t="str">
            <v>M325</v>
          </cell>
          <cell r="B67" t="str">
            <v>Trilho metálico TR-37 (usado)</v>
          </cell>
          <cell r="C67" t="str">
            <v>kg</v>
          </cell>
          <cell r="D67">
            <v>0.65</v>
          </cell>
          <cell r="E67" t="str">
            <v>kg</v>
          </cell>
          <cell r="F67">
            <v>0.65</v>
          </cell>
        </row>
        <row r="68">
          <cell r="A68" t="str">
            <v>M326</v>
          </cell>
          <cell r="B68" t="str">
            <v>Série de brocas S-12 D=22 mm</v>
          </cell>
          <cell r="C68" t="str">
            <v>un</v>
          </cell>
          <cell r="D68">
            <v>1121.06</v>
          </cell>
          <cell r="E68" t="str">
            <v>un</v>
          </cell>
          <cell r="F68">
            <v>1121.06</v>
          </cell>
        </row>
        <row r="69">
          <cell r="A69" t="str">
            <v>M328</v>
          </cell>
          <cell r="B69" t="str">
            <v>Luva de emenda D=32mm</v>
          </cell>
          <cell r="C69" t="str">
            <v>un</v>
          </cell>
          <cell r="D69">
            <v>23.65</v>
          </cell>
          <cell r="E69" t="str">
            <v>un</v>
          </cell>
          <cell r="F69">
            <v>23.65</v>
          </cell>
        </row>
        <row r="70">
          <cell r="A70" t="str">
            <v>M330</v>
          </cell>
          <cell r="B70" t="str">
            <v>Calha met. semicircular D=40 cm</v>
          </cell>
          <cell r="C70" t="str">
            <v>m</v>
          </cell>
          <cell r="D70">
            <v>55</v>
          </cell>
          <cell r="E70" t="str">
            <v>m</v>
          </cell>
          <cell r="F70">
            <v>55</v>
          </cell>
        </row>
        <row r="71">
          <cell r="A71" t="str">
            <v>M331</v>
          </cell>
          <cell r="B71" t="str">
            <v>Paraf. fixação calha met. (1/2"x1")</v>
          </cell>
          <cell r="C71" t="str">
            <v>un</v>
          </cell>
          <cell r="D71">
            <v>0.42</v>
          </cell>
          <cell r="E71" t="str">
            <v>un</v>
          </cell>
          <cell r="F71">
            <v>0.42</v>
          </cell>
        </row>
        <row r="72">
          <cell r="A72" t="str">
            <v>M332</v>
          </cell>
          <cell r="B72" t="str">
            <v>Paraf. forma de madeira (1/2"x3")</v>
          </cell>
          <cell r="C72" t="str">
            <v>kg</v>
          </cell>
          <cell r="D72">
            <v>12.6</v>
          </cell>
          <cell r="E72" t="str">
            <v>kg</v>
          </cell>
          <cell r="F72">
            <v>12.6</v>
          </cell>
        </row>
        <row r="73">
          <cell r="A73" t="str">
            <v>M334</v>
          </cell>
          <cell r="B73" t="str">
            <v>Paraf. zinc. c/ fenda 1 1/2"x3/16"</v>
          </cell>
          <cell r="C73" t="str">
            <v>un</v>
          </cell>
          <cell r="D73">
            <v>0.06</v>
          </cell>
          <cell r="E73" t="str">
            <v>un</v>
          </cell>
          <cell r="F73">
            <v>0.06</v>
          </cell>
        </row>
        <row r="74">
          <cell r="A74" t="str">
            <v>M335</v>
          </cell>
          <cell r="B74" t="str">
            <v>Paraf. zincado francês 4" x 5/16"</v>
          </cell>
          <cell r="C74" t="str">
            <v>un</v>
          </cell>
          <cell r="D74">
            <v>0.33</v>
          </cell>
          <cell r="E74" t="str">
            <v>un</v>
          </cell>
          <cell r="F74">
            <v>0.33</v>
          </cell>
        </row>
        <row r="75">
          <cell r="A75" t="str">
            <v>M338</v>
          </cell>
          <cell r="B75" t="str">
            <v>Cano de ferro D=3/4"</v>
          </cell>
          <cell r="C75" t="str">
            <v>m</v>
          </cell>
          <cell r="D75">
            <v>1.92</v>
          </cell>
          <cell r="E75" t="str">
            <v>pç</v>
          </cell>
          <cell r="F75">
            <v>11.52</v>
          </cell>
        </row>
        <row r="76">
          <cell r="A76" t="str">
            <v>M339</v>
          </cell>
          <cell r="B76" t="str">
            <v>Cantoneira ferro (3,0"x3,0"x3/8")</v>
          </cell>
          <cell r="C76" t="str">
            <v>kg</v>
          </cell>
          <cell r="D76">
            <v>0.86</v>
          </cell>
          <cell r="E76" t="str">
            <v>kg</v>
          </cell>
          <cell r="F76">
            <v>0.86</v>
          </cell>
        </row>
        <row r="77">
          <cell r="A77" t="str">
            <v>M340</v>
          </cell>
          <cell r="B77" t="str">
            <v>Tampão de ferro fundido</v>
          </cell>
          <cell r="C77" t="str">
            <v>un</v>
          </cell>
          <cell r="D77">
            <v>135.31</v>
          </cell>
          <cell r="E77" t="str">
            <v>un</v>
          </cell>
          <cell r="F77">
            <v>135.31</v>
          </cell>
        </row>
        <row r="78">
          <cell r="A78" t="str">
            <v>M341</v>
          </cell>
          <cell r="B78" t="str">
            <v>Defensa met. maleável simples</v>
          </cell>
          <cell r="C78" t="str">
            <v>mod</v>
          </cell>
          <cell r="D78">
            <v>546</v>
          </cell>
          <cell r="E78" t="str">
            <v>mod</v>
          </cell>
          <cell r="F78">
            <v>546</v>
          </cell>
        </row>
        <row r="79">
          <cell r="A79" t="str">
            <v>M342</v>
          </cell>
          <cell r="B79" t="str">
            <v>Defensa met. maleável dupla</v>
          </cell>
          <cell r="C79" t="str">
            <v>mod</v>
          </cell>
          <cell r="D79">
            <v>680</v>
          </cell>
          <cell r="E79" t="str">
            <v>mod</v>
          </cell>
          <cell r="F79">
            <v>680</v>
          </cell>
        </row>
        <row r="80">
          <cell r="A80" t="str">
            <v>M343</v>
          </cell>
          <cell r="B80" t="str">
            <v>Defensa met. semi-maleável simples</v>
          </cell>
          <cell r="C80" t="str">
            <v>mod</v>
          </cell>
          <cell r="D80">
            <v>360</v>
          </cell>
          <cell r="E80" t="str">
            <v>mod</v>
          </cell>
          <cell r="F80">
            <v>360</v>
          </cell>
        </row>
        <row r="81">
          <cell r="A81" t="str">
            <v>M344</v>
          </cell>
          <cell r="B81" t="str">
            <v>Defensa met. semi-maleável dupla</v>
          </cell>
          <cell r="C81" t="str">
            <v>mod</v>
          </cell>
          <cell r="D81">
            <v>618</v>
          </cell>
          <cell r="E81" t="str">
            <v>mod</v>
          </cell>
          <cell r="F81">
            <v>618</v>
          </cell>
        </row>
        <row r="82">
          <cell r="A82" t="str">
            <v>M345</v>
          </cell>
          <cell r="B82" t="str">
            <v>Chapa de aço n. 28 (fina)</v>
          </cell>
          <cell r="C82" t="str">
            <v>kg</v>
          </cell>
          <cell r="D82">
            <v>1.665</v>
          </cell>
          <cell r="E82" t="str">
            <v>kg</v>
          </cell>
          <cell r="F82">
            <v>1.67</v>
          </cell>
        </row>
        <row r="83">
          <cell r="A83" t="str">
            <v>M346</v>
          </cell>
          <cell r="B83" t="str">
            <v>Chapa de aço n. 16 (tratada)</v>
          </cell>
          <cell r="C83" t="str">
            <v>m2</v>
          </cell>
          <cell r="D83">
            <v>17.5</v>
          </cell>
          <cell r="E83" t="str">
            <v>m2</v>
          </cell>
          <cell r="F83">
            <v>17.5</v>
          </cell>
        </row>
        <row r="84">
          <cell r="A84" t="str">
            <v>M347</v>
          </cell>
          <cell r="B84" t="str">
            <v>Dente p/ fresadora 1000 C</v>
          </cell>
          <cell r="C84" t="str">
            <v>un</v>
          </cell>
          <cell r="D84">
            <v>19.260000000000002</v>
          </cell>
          <cell r="E84" t="str">
            <v>un</v>
          </cell>
          <cell r="F84">
            <v>19.260000000000002</v>
          </cell>
        </row>
        <row r="85">
          <cell r="A85" t="str">
            <v>M348</v>
          </cell>
          <cell r="B85" t="str">
            <v>Porta dente p/ fresadora 1000 C</v>
          </cell>
          <cell r="C85" t="str">
            <v>un</v>
          </cell>
          <cell r="D85">
            <v>42.94</v>
          </cell>
          <cell r="E85" t="str">
            <v>un</v>
          </cell>
          <cell r="F85">
            <v>42.94</v>
          </cell>
        </row>
        <row r="86">
          <cell r="A86" t="str">
            <v>M349</v>
          </cell>
          <cell r="B86" t="str">
            <v>Dente p/ fresadora 2000 DC</v>
          </cell>
          <cell r="C86" t="str">
            <v>un</v>
          </cell>
          <cell r="D86">
            <v>19.260000000000002</v>
          </cell>
          <cell r="E86" t="str">
            <v>un</v>
          </cell>
          <cell r="F86">
            <v>19.260000000000002</v>
          </cell>
        </row>
        <row r="87">
          <cell r="A87" t="str">
            <v>M350</v>
          </cell>
          <cell r="B87" t="str">
            <v>Porta dente p/ fresadora 2000 DC</v>
          </cell>
          <cell r="C87" t="str">
            <v>un</v>
          </cell>
          <cell r="D87">
            <v>68.8</v>
          </cell>
          <cell r="E87" t="str">
            <v>un</v>
          </cell>
          <cell r="F87">
            <v>68.8</v>
          </cell>
        </row>
        <row r="88">
          <cell r="A88" t="str">
            <v>M351</v>
          </cell>
          <cell r="B88" t="str">
            <v>Estrut. (tunnel liner) D=1,6m galv.</v>
          </cell>
          <cell r="C88" t="str">
            <v>m</v>
          </cell>
          <cell r="D88">
            <v>827</v>
          </cell>
          <cell r="E88" t="str">
            <v>m</v>
          </cell>
          <cell r="F88">
            <v>827</v>
          </cell>
        </row>
        <row r="89">
          <cell r="A89" t="str">
            <v>M352</v>
          </cell>
          <cell r="B89" t="str">
            <v>Estrut. (tunnel liner) D=2,0m galv.</v>
          </cell>
          <cell r="C89" t="str">
            <v>m</v>
          </cell>
          <cell r="D89">
            <v>1036</v>
          </cell>
          <cell r="E89" t="str">
            <v>m</v>
          </cell>
          <cell r="F89">
            <v>1036</v>
          </cell>
        </row>
        <row r="90">
          <cell r="A90" t="str">
            <v>M353</v>
          </cell>
          <cell r="B90" t="str">
            <v>Estrut. (tunnel liner) D=1,6m epoxy</v>
          </cell>
          <cell r="C90" t="str">
            <v>m</v>
          </cell>
          <cell r="D90">
            <v>1296</v>
          </cell>
          <cell r="E90" t="str">
            <v>m</v>
          </cell>
          <cell r="F90">
            <v>1296</v>
          </cell>
        </row>
        <row r="91">
          <cell r="A91" t="str">
            <v>M354</v>
          </cell>
          <cell r="B91" t="str">
            <v>Estrut, (tunnel liner) D=2,0m epoxy</v>
          </cell>
          <cell r="C91" t="str">
            <v>m</v>
          </cell>
          <cell r="D91">
            <v>1117</v>
          </cell>
          <cell r="E91" t="str">
            <v>m</v>
          </cell>
          <cell r="F91">
            <v>1117</v>
          </cell>
        </row>
        <row r="92">
          <cell r="A92" t="str">
            <v>M355</v>
          </cell>
          <cell r="B92" t="str">
            <v>Chapa mult. D=1,60 m rev. galv.</v>
          </cell>
          <cell r="C92" t="str">
            <v>m</v>
          </cell>
          <cell r="D92">
            <v>980</v>
          </cell>
          <cell r="E92" t="str">
            <v>m</v>
          </cell>
          <cell r="F92">
            <v>980</v>
          </cell>
        </row>
        <row r="93">
          <cell r="A93" t="str">
            <v>M356</v>
          </cell>
          <cell r="B93" t="str">
            <v>Chapa mult. D=2,00 m rev. galv.</v>
          </cell>
          <cell r="C93" t="str">
            <v>m</v>
          </cell>
          <cell r="D93">
            <v>1225</v>
          </cell>
          <cell r="E93" t="str">
            <v>m</v>
          </cell>
          <cell r="F93">
            <v>1225</v>
          </cell>
        </row>
        <row r="94">
          <cell r="A94" t="str">
            <v>M357</v>
          </cell>
          <cell r="B94" t="str">
            <v>Chapa mult. D=1,60 m rev. epoxy</v>
          </cell>
          <cell r="C94" t="str">
            <v>m</v>
          </cell>
          <cell r="D94">
            <v>1060</v>
          </cell>
          <cell r="E94" t="str">
            <v>m</v>
          </cell>
          <cell r="F94">
            <v>1060</v>
          </cell>
        </row>
        <row r="95">
          <cell r="A95" t="str">
            <v>M358</v>
          </cell>
          <cell r="B95" t="str">
            <v>Chapa mult. D=2,00 m rev. epoxy</v>
          </cell>
          <cell r="C95" t="str">
            <v>m</v>
          </cell>
          <cell r="D95">
            <v>1325</v>
          </cell>
          <cell r="E95" t="str">
            <v>m</v>
          </cell>
          <cell r="F95">
            <v>1325</v>
          </cell>
        </row>
        <row r="96">
          <cell r="A96" t="str">
            <v>M359</v>
          </cell>
          <cell r="B96" t="str">
            <v>Vigas "I" 254 x 117,5mm - 1ª alma</v>
          </cell>
          <cell r="C96" t="str">
            <v>kg</v>
          </cell>
          <cell r="D96">
            <v>1.45</v>
          </cell>
          <cell r="E96" t="str">
            <v>kg</v>
          </cell>
          <cell r="F96">
            <v>1.45</v>
          </cell>
        </row>
        <row r="97">
          <cell r="A97" t="str">
            <v>M370</v>
          </cell>
          <cell r="B97" t="str">
            <v>Bainha metálica diam. int.=45mm MAC</v>
          </cell>
          <cell r="C97" t="str">
            <v>m</v>
          </cell>
          <cell r="D97">
            <v>6.44</v>
          </cell>
          <cell r="E97" t="str">
            <v>m</v>
          </cell>
          <cell r="F97">
            <v>6.44</v>
          </cell>
        </row>
        <row r="98">
          <cell r="A98" t="str">
            <v>M371</v>
          </cell>
          <cell r="B98" t="str">
            <v>Bainha metálica diam. int.=60mm MAC</v>
          </cell>
          <cell r="C98" t="str">
            <v>m</v>
          </cell>
          <cell r="D98">
            <v>9.82</v>
          </cell>
          <cell r="E98" t="str">
            <v>m</v>
          </cell>
          <cell r="F98">
            <v>9.82</v>
          </cell>
        </row>
        <row r="99">
          <cell r="A99" t="str">
            <v>M372</v>
          </cell>
          <cell r="B99" t="str">
            <v>Bainha metálica diam. int.=55mm MAC</v>
          </cell>
          <cell r="C99" t="str">
            <v>m</v>
          </cell>
          <cell r="D99">
            <v>8.42</v>
          </cell>
          <cell r="E99" t="str">
            <v>m</v>
          </cell>
          <cell r="F99">
            <v>8.42</v>
          </cell>
        </row>
        <row r="100">
          <cell r="A100" t="str">
            <v>M373</v>
          </cell>
          <cell r="B100" t="str">
            <v>Bainha metálica diam. int.=70mm MAC</v>
          </cell>
          <cell r="C100" t="str">
            <v>m</v>
          </cell>
          <cell r="D100">
            <v>11.04</v>
          </cell>
          <cell r="E100" t="str">
            <v>m</v>
          </cell>
          <cell r="F100">
            <v>11.04</v>
          </cell>
        </row>
        <row r="101">
          <cell r="A101" t="str">
            <v>M374</v>
          </cell>
          <cell r="B101" t="str">
            <v>Ancoragem p/ cabo 4V D=1/2" MAC 4a</v>
          </cell>
          <cell r="C101" t="str">
            <v>cj</v>
          </cell>
          <cell r="D101">
            <v>142.43</v>
          </cell>
          <cell r="E101" t="str">
            <v>cj</v>
          </cell>
          <cell r="F101">
            <v>142.43</v>
          </cell>
        </row>
        <row r="102">
          <cell r="A102" t="str">
            <v>M375</v>
          </cell>
          <cell r="B102" t="str">
            <v>Ancoragem p/ cabo 6V D=1/2" MAC 6ac</v>
          </cell>
          <cell r="C102" t="str">
            <v>cj</v>
          </cell>
          <cell r="D102">
            <v>223.36</v>
          </cell>
          <cell r="E102" t="str">
            <v>cj</v>
          </cell>
          <cell r="F102">
            <v>223.36</v>
          </cell>
        </row>
        <row r="103">
          <cell r="A103" t="str">
            <v>M376</v>
          </cell>
          <cell r="B103" t="str">
            <v>Ancoragem p/ cabo 7V D=1/2" MAC 7a</v>
          </cell>
          <cell r="C103" t="str">
            <v>cj</v>
          </cell>
          <cell r="D103">
            <v>431.11</v>
          </cell>
          <cell r="E103" t="str">
            <v>cj</v>
          </cell>
          <cell r="F103">
            <v>431.11</v>
          </cell>
        </row>
        <row r="104">
          <cell r="A104" t="str">
            <v>M377</v>
          </cell>
          <cell r="B104" t="str">
            <v>Ancoragem p/ cabo 12V D=1/2" MAC 12</v>
          </cell>
          <cell r="C104" t="str">
            <v>cj</v>
          </cell>
          <cell r="D104">
            <v>452.67</v>
          </cell>
          <cell r="E104" t="str">
            <v>cj</v>
          </cell>
          <cell r="F104">
            <v>452.67</v>
          </cell>
        </row>
        <row r="105">
          <cell r="A105" t="str">
            <v>M378</v>
          </cell>
          <cell r="B105" t="str">
            <v>Apoio do porta dente frezad. 2000DC</v>
          </cell>
          <cell r="C105" t="str">
            <v>un</v>
          </cell>
          <cell r="D105">
            <v>145.94999999999999</v>
          </cell>
          <cell r="E105" t="str">
            <v>un</v>
          </cell>
          <cell r="F105">
            <v>145.94999999999999</v>
          </cell>
        </row>
        <row r="106">
          <cell r="A106" t="str">
            <v>M380</v>
          </cell>
          <cell r="B106" t="str">
            <v>Bainha metálica D=45mm STUP</v>
          </cell>
          <cell r="C106" t="str">
            <v>m</v>
          </cell>
          <cell r="D106">
            <v>7.4</v>
          </cell>
          <cell r="E106" t="str">
            <v>m</v>
          </cell>
          <cell r="F106">
            <v>7.4</v>
          </cell>
        </row>
        <row r="107">
          <cell r="A107" t="str">
            <v>M381</v>
          </cell>
          <cell r="B107" t="str">
            <v>Bainha metálica D=60mm STUP</v>
          </cell>
          <cell r="C107" t="str">
            <v>m</v>
          </cell>
          <cell r="D107">
            <v>8.9</v>
          </cell>
          <cell r="E107" t="str">
            <v>m</v>
          </cell>
          <cell r="F107">
            <v>8.9</v>
          </cell>
        </row>
        <row r="108">
          <cell r="A108" t="str">
            <v>M382</v>
          </cell>
          <cell r="B108" t="str">
            <v>Bainha metálica D=55mm STUP</v>
          </cell>
          <cell r="C108" t="str">
            <v>m</v>
          </cell>
          <cell r="D108">
            <v>8.6</v>
          </cell>
          <cell r="E108" t="str">
            <v>m</v>
          </cell>
          <cell r="F108">
            <v>8.6</v>
          </cell>
        </row>
        <row r="109">
          <cell r="A109" t="str">
            <v>M383</v>
          </cell>
          <cell r="B109" t="str">
            <v>Bainha metálica D=70mm STUP</v>
          </cell>
          <cell r="C109" t="str">
            <v>m</v>
          </cell>
          <cell r="D109">
            <v>9.8000000000000007</v>
          </cell>
          <cell r="E109" t="str">
            <v>m</v>
          </cell>
          <cell r="F109">
            <v>9.8000000000000007</v>
          </cell>
        </row>
        <row r="110">
          <cell r="A110" t="str">
            <v>M384</v>
          </cell>
          <cell r="B110" t="str">
            <v>Ancoragem p/ cabo 4V D=1/2" STUP</v>
          </cell>
          <cell r="C110" t="str">
            <v>cj</v>
          </cell>
          <cell r="D110">
            <v>117</v>
          </cell>
          <cell r="E110" t="str">
            <v>cj</v>
          </cell>
          <cell r="F110">
            <v>117</v>
          </cell>
        </row>
        <row r="111">
          <cell r="A111" t="str">
            <v>M385</v>
          </cell>
          <cell r="B111" t="str">
            <v>Ancoragem p/ cabo 6V D=1/2" STUP</v>
          </cell>
          <cell r="C111" t="str">
            <v>cj</v>
          </cell>
          <cell r="D111">
            <v>175</v>
          </cell>
          <cell r="E111" t="str">
            <v>cj</v>
          </cell>
          <cell r="F111">
            <v>175</v>
          </cell>
        </row>
        <row r="112">
          <cell r="A112" t="str">
            <v>M386</v>
          </cell>
          <cell r="B112" t="str">
            <v>Ancoragem p/ cabo 7V D=1/2" STUP</v>
          </cell>
          <cell r="C112" t="str">
            <v>cj</v>
          </cell>
          <cell r="D112">
            <v>209</v>
          </cell>
          <cell r="E112" t="str">
            <v>cj</v>
          </cell>
          <cell r="F112">
            <v>209</v>
          </cell>
        </row>
        <row r="113">
          <cell r="A113" t="str">
            <v>M387</v>
          </cell>
          <cell r="B113" t="str">
            <v>Ancoragem p/ cabo 12V D=1/2" STUP</v>
          </cell>
          <cell r="C113" t="str">
            <v>cj</v>
          </cell>
          <cell r="D113">
            <v>415</v>
          </cell>
          <cell r="E113" t="str">
            <v>cj</v>
          </cell>
          <cell r="F113">
            <v>415</v>
          </cell>
        </row>
        <row r="114">
          <cell r="A114" t="str">
            <v>M390</v>
          </cell>
          <cell r="B114" t="str">
            <v>Porca de ancoragem D=32mm</v>
          </cell>
          <cell r="C114" t="str">
            <v>un</v>
          </cell>
          <cell r="D114">
            <v>14.3</v>
          </cell>
          <cell r="E114" t="str">
            <v>un</v>
          </cell>
          <cell r="F114">
            <v>14.3</v>
          </cell>
        </row>
        <row r="115">
          <cell r="A115" t="str">
            <v>M391</v>
          </cell>
          <cell r="B115" t="str">
            <v>Contra porca h=35mm D=32mm</v>
          </cell>
          <cell r="C115" t="str">
            <v>un</v>
          </cell>
          <cell r="D115">
            <v>10.45</v>
          </cell>
          <cell r="E115" t="str">
            <v>un</v>
          </cell>
          <cell r="F115">
            <v>10.45</v>
          </cell>
        </row>
        <row r="116">
          <cell r="A116" t="str">
            <v>M392</v>
          </cell>
          <cell r="B116" t="str">
            <v>Aço ST 85/105 D=32mm</v>
          </cell>
          <cell r="C116" t="str">
            <v>m</v>
          </cell>
          <cell r="D116">
            <v>21.52</v>
          </cell>
          <cell r="E116" t="str">
            <v>m</v>
          </cell>
          <cell r="F116">
            <v>21.52</v>
          </cell>
        </row>
        <row r="117">
          <cell r="A117" t="str">
            <v>M393</v>
          </cell>
          <cell r="B117" t="str">
            <v>Placa de ancoragem - 200x200x38mm</v>
          </cell>
          <cell r="C117" t="str">
            <v>un</v>
          </cell>
          <cell r="D117">
            <v>48.3</v>
          </cell>
          <cell r="E117" t="str">
            <v>un</v>
          </cell>
          <cell r="F117">
            <v>48.3</v>
          </cell>
        </row>
        <row r="118">
          <cell r="A118" t="str">
            <v>M394</v>
          </cell>
          <cell r="B118" t="str">
            <v>Bainha metálica D=38mm</v>
          </cell>
          <cell r="C118" t="str">
            <v>m</v>
          </cell>
          <cell r="D118">
            <v>6</v>
          </cell>
          <cell r="E118" t="str">
            <v>m</v>
          </cell>
          <cell r="F118">
            <v>6</v>
          </cell>
        </row>
        <row r="119">
          <cell r="A119" t="str">
            <v>M395</v>
          </cell>
          <cell r="B119" t="str">
            <v>Bits p/ estabil. e recicl. RR/SS250</v>
          </cell>
          <cell r="C119" t="str">
            <v>un</v>
          </cell>
          <cell r="D119">
            <v>25</v>
          </cell>
          <cell r="E119" t="str">
            <v>un</v>
          </cell>
          <cell r="F119">
            <v>25</v>
          </cell>
        </row>
        <row r="120">
          <cell r="A120" t="str">
            <v>M396</v>
          </cell>
          <cell r="B120" t="str">
            <v>Porta dente p/ est. e rec. RR/SS250</v>
          </cell>
          <cell r="C120" t="str">
            <v>un</v>
          </cell>
          <cell r="D120">
            <v>161.83000000000001</v>
          </cell>
          <cell r="E120" t="str">
            <v>un</v>
          </cell>
          <cell r="F120">
            <v>161.83000000000001</v>
          </cell>
        </row>
        <row r="121">
          <cell r="A121" t="str">
            <v>M397</v>
          </cell>
          <cell r="B121" t="str">
            <v>Dente de corte para equip. recicl.</v>
          </cell>
          <cell r="C121" t="str">
            <v>un</v>
          </cell>
          <cell r="D121">
            <v>40.950000000000003</v>
          </cell>
          <cell r="E121" t="str">
            <v>un</v>
          </cell>
          <cell r="F121">
            <v>40.950000000000003</v>
          </cell>
        </row>
        <row r="122">
          <cell r="A122" t="str">
            <v>M398</v>
          </cell>
          <cell r="B122" t="str">
            <v>Chapa de 8,00 mm</v>
          </cell>
          <cell r="C122" t="str">
            <v>kg</v>
          </cell>
          <cell r="D122">
            <v>0.91</v>
          </cell>
          <cell r="E122" t="str">
            <v>kg</v>
          </cell>
          <cell r="F122">
            <v>0.91</v>
          </cell>
        </row>
        <row r="123">
          <cell r="A123" t="str">
            <v>M401</v>
          </cell>
          <cell r="B123" t="str">
            <v>Pontaletes D=15 cm (tronco p/ esc.)</v>
          </cell>
          <cell r="C123" t="str">
            <v>m</v>
          </cell>
          <cell r="D123">
            <v>1.5</v>
          </cell>
          <cell r="E123" t="str">
            <v>m</v>
          </cell>
          <cell r="F123">
            <v>1.5</v>
          </cell>
        </row>
        <row r="124">
          <cell r="A124" t="str">
            <v>M402</v>
          </cell>
          <cell r="B124" t="str">
            <v>Pontaletes D=20 cm (tronco p/ esc.)</v>
          </cell>
          <cell r="C124" t="str">
            <v>m</v>
          </cell>
          <cell r="D124">
            <v>2</v>
          </cell>
          <cell r="E124" t="str">
            <v>m</v>
          </cell>
          <cell r="F124">
            <v>2</v>
          </cell>
        </row>
        <row r="125">
          <cell r="A125" t="str">
            <v>M403</v>
          </cell>
          <cell r="B125" t="str">
            <v>Mourão madeira H=2,15 m D=9 cm</v>
          </cell>
          <cell r="C125" t="str">
            <v>un</v>
          </cell>
          <cell r="D125">
            <v>4.5</v>
          </cell>
          <cell r="E125" t="str">
            <v>un</v>
          </cell>
          <cell r="F125">
            <v>4.5</v>
          </cell>
        </row>
        <row r="126">
          <cell r="A126" t="str">
            <v>M404</v>
          </cell>
          <cell r="B126" t="str">
            <v>Mourão madeira H=2,50 m D=12 cm</v>
          </cell>
          <cell r="C126" t="str">
            <v>un</v>
          </cell>
          <cell r="D126">
            <v>4.5</v>
          </cell>
          <cell r="E126" t="str">
            <v>un</v>
          </cell>
          <cell r="F126">
            <v>4.5</v>
          </cell>
        </row>
        <row r="127">
          <cell r="A127" t="str">
            <v>M405</v>
          </cell>
          <cell r="B127" t="str">
            <v>Ripas de 2,5 cm x 5,0 cm</v>
          </cell>
          <cell r="C127" t="str">
            <v>m</v>
          </cell>
          <cell r="D127">
            <v>0.39</v>
          </cell>
          <cell r="E127" t="str">
            <v>m</v>
          </cell>
          <cell r="F127">
            <v>0.39</v>
          </cell>
        </row>
        <row r="128">
          <cell r="A128" t="str">
            <v>M406</v>
          </cell>
          <cell r="B128" t="str">
            <v>Caibros de 7,5 cm x 7,5 cm</v>
          </cell>
          <cell r="C128" t="str">
            <v>m</v>
          </cell>
          <cell r="D128">
            <v>3</v>
          </cell>
          <cell r="E128" t="str">
            <v>m</v>
          </cell>
          <cell r="F128">
            <v>3</v>
          </cell>
        </row>
        <row r="129">
          <cell r="A129" t="str">
            <v>M407</v>
          </cell>
          <cell r="B129" t="str">
            <v>Tábua pinho de 1ª 2,5 cm x 15,0 cm</v>
          </cell>
          <cell r="C129" t="str">
            <v>m</v>
          </cell>
          <cell r="D129">
            <v>1.2</v>
          </cell>
          <cell r="E129" t="str">
            <v>m</v>
          </cell>
          <cell r="F129">
            <v>1.2</v>
          </cell>
        </row>
        <row r="130">
          <cell r="A130" t="str">
            <v>M408</v>
          </cell>
          <cell r="B130" t="str">
            <v>Tábua de 5ª 2,5 cm x 30,0 cm</v>
          </cell>
          <cell r="C130" t="str">
            <v>m</v>
          </cell>
          <cell r="D130">
            <v>2.2999999999999998</v>
          </cell>
          <cell r="E130" t="str">
            <v>m</v>
          </cell>
          <cell r="F130">
            <v>2.2999999999999998</v>
          </cell>
        </row>
        <row r="131">
          <cell r="A131" t="str">
            <v>M409</v>
          </cell>
          <cell r="B131" t="str">
            <v>Pranchão de 1ª de 5,0 cm x 30,0 cm</v>
          </cell>
          <cell r="C131" t="str">
            <v>m</v>
          </cell>
          <cell r="D131">
            <v>10</v>
          </cell>
          <cell r="E131" t="str">
            <v>m</v>
          </cell>
          <cell r="F131">
            <v>10</v>
          </cell>
        </row>
        <row r="132">
          <cell r="A132" t="str">
            <v>M410</v>
          </cell>
          <cell r="B132" t="str">
            <v>Compensado resinado de 17 mm</v>
          </cell>
          <cell r="C132" t="str">
            <v>m2</v>
          </cell>
          <cell r="D132">
            <v>10</v>
          </cell>
          <cell r="E132" t="str">
            <v>un</v>
          </cell>
          <cell r="F132">
            <v>24.2</v>
          </cell>
        </row>
        <row r="133">
          <cell r="A133" t="str">
            <v>M411</v>
          </cell>
          <cell r="B133" t="str">
            <v>Compensado plastificado de 17 mm</v>
          </cell>
          <cell r="C133" t="str">
            <v>m2</v>
          </cell>
          <cell r="D133">
            <v>18</v>
          </cell>
          <cell r="E133" t="str">
            <v>un</v>
          </cell>
          <cell r="F133">
            <v>53.46</v>
          </cell>
        </row>
        <row r="134">
          <cell r="A134" t="str">
            <v>M412</v>
          </cell>
          <cell r="B134" t="str">
            <v>Gastalho 10 x 2,0 cm</v>
          </cell>
          <cell r="C134" t="str">
            <v>m</v>
          </cell>
          <cell r="D134">
            <v>1</v>
          </cell>
          <cell r="E134" t="str">
            <v>m</v>
          </cell>
          <cell r="F134">
            <v>1</v>
          </cell>
        </row>
        <row r="135">
          <cell r="A135" t="str">
            <v>M413</v>
          </cell>
          <cell r="B135" t="str">
            <v>Gastalho 10 x 2,5 cm</v>
          </cell>
          <cell r="C135" t="str">
            <v>m</v>
          </cell>
          <cell r="D135">
            <v>0.85</v>
          </cell>
          <cell r="E135" t="str">
            <v>m</v>
          </cell>
          <cell r="F135">
            <v>0.85</v>
          </cell>
        </row>
        <row r="136">
          <cell r="A136" t="str">
            <v>M414</v>
          </cell>
          <cell r="B136" t="str">
            <v>Pranchão 7,5 x 30,0 cm</v>
          </cell>
          <cell r="C136" t="str">
            <v>m</v>
          </cell>
          <cell r="D136">
            <v>13.7</v>
          </cell>
          <cell r="E136" t="str">
            <v>un</v>
          </cell>
          <cell r="F136">
            <v>13.7</v>
          </cell>
        </row>
        <row r="137">
          <cell r="A137" t="str">
            <v>M415</v>
          </cell>
          <cell r="B137" t="str">
            <v>Tábua 2,5 x 22,5 cm</v>
          </cell>
          <cell r="C137" t="str">
            <v>m</v>
          </cell>
          <cell r="D137">
            <v>1.8</v>
          </cell>
          <cell r="E137" t="str">
            <v>un</v>
          </cell>
          <cell r="F137">
            <v>1.8</v>
          </cell>
        </row>
        <row r="138">
          <cell r="A138" t="str">
            <v>M501</v>
          </cell>
          <cell r="B138" t="str">
            <v>Dinamite a 60% (gelatina especial)</v>
          </cell>
          <cell r="C138" t="str">
            <v>kg</v>
          </cell>
          <cell r="D138">
            <v>1.76</v>
          </cell>
          <cell r="E138" t="str">
            <v>kg</v>
          </cell>
          <cell r="F138">
            <v>1.76</v>
          </cell>
        </row>
        <row r="139">
          <cell r="A139" t="str">
            <v>M503</v>
          </cell>
          <cell r="B139" t="str">
            <v>Espoleta comum n. 8</v>
          </cell>
          <cell r="C139" t="str">
            <v>un</v>
          </cell>
          <cell r="D139">
            <v>0.15</v>
          </cell>
          <cell r="E139" t="str">
            <v>un</v>
          </cell>
          <cell r="F139">
            <v>0.15</v>
          </cell>
        </row>
        <row r="140">
          <cell r="A140" t="str">
            <v>M505</v>
          </cell>
          <cell r="B140" t="str">
            <v>Cordel detonante NP 10</v>
          </cell>
          <cell r="C140" t="str">
            <v>m</v>
          </cell>
          <cell r="D140">
            <v>0.28999999999999998</v>
          </cell>
          <cell r="E140" t="str">
            <v>m</v>
          </cell>
          <cell r="F140">
            <v>0.28999999999999998</v>
          </cell>
        </row>
        <row r="141">
          <cell r="A141" t="str">
            <v>M507</v>
          </cell>
          <cell r="B141" t="str">
            <v>Retardador de cordel</v>
          </cell>
          <cell r="C141" t="str">
            <v>un</v>
          </cell>
          <cell r="D141">
            <v>4</v>
          </cell>
          <cell r="E141" t="str">
            <v>un</v>
          </cell>
          <cell r="F141">
            <v>4</v>
          </cell>
        </row>
        <row r="142">
          <cell r="A142" t="str">
            <v>M508</v>
          </cell>
          <cell r="B142" t="str">
            <v>Estopim</v>
          </cell>
          <cell r="C142" t="str">
            <v>m</v>
          </cell>
          <cell r="D142">
            <v>0.28999999999999998</v>
          </cell>
          <cell r="E142" t="str">
            <v>m</v>
          </cell>
          <cell r="F142">
            <v>0.28999999999999998</v>
          </cell>
        </row>
        <row r="143">
          <cell r="A143" t="str">
            <v>M600</v>
          </cell>
          <cell r="B143" t="str">
            <v>Tinta refletiva alquídica p/ 1 ano</v>
          </cell>
          <cell r="C143" t="str">
            <v>l</v>
          </cell>
          <cell r="D143">
            <v>5.5660999999999996</v>
          </cell>
          <cell r="E143" t="str">
            <v>ba</v>
          </cell>
          <cell r="F143">
            <v>100.19</v>
          </cell>
        </row>
        <row r="144">
          <cell r="A144" t="str">
            <v>M601</v>
          </cell>
          <cell r="B144" t="str">
            <v>Tinta refletiva acrílica p/ 2 anos</v>
          </cell>
          <cell r="C144" t="str">
            <v>l</v>
          </cell>
          <cell r="D144">
            <v>6.72</v>
          </cell>
          <cell r="E144" t="str">
            <v>ba</v>
          </cell>
          <cell r="F144">
            <v>120.96</v>
          </cell>
        </row>
        <row r="145">
          <cell r="A145" t="str">
            <v>M602</v>
          </cell>
          <cell r="B145" t="str">
            <v>Adubo NPK (4.14.8)</v>
          </cell>
          <cell r="C145" t="str">
            <v>kg</v>
          </cell>
          <cell r="D145">
            <v>0.5</v>
          </cell>
          <cell r="E145" t="str">
            <v>kg</v>
          </cell>
          <cell r="F145">
            <v>0.5</v>
          </cell>
        </row>
        <row r="146">
          <cell r="A146" t="str">
            <v>M603</v>
          </cell>
          <cell r="B146" t="str">
            <v>Inseticida</v>
          </cell>
          <cell r="C146" t="str">
            <v>l</v>
          </cell>
          <cell r="D146">
            <v>18</v>
          </cell>
          <cell r="E146" t="str">
            <v>l</v>
          </cell>
          <cell r="F146">
            <v>18</v>
          </cell>
        </row>
        <row r="147">
          <cell r="A147" t="str">
            <v>M604</v>
          </cell>
          <cell r="B147" t="str">
            <v>Aditivo plastiment BV-40</v>
          </cell>
          <cell r="C147" t="str">
            <v>kg</v>
          </cell>
          <cell r="D147">
            <v>1.6</v>
          </cell>
          <cell r="E147" t="str">
            <v>tam</v>
          </cell>
          <cell r="F147">
            <v>320</v>
          </cell>
        </row>
        <row r="148">
          <cell r="A148" t="str">
            <v>M605</v>
          </cell>
          <cell r="B148" t="str">
            <v>Cola para tubo PVC</v>
          </cell>
          <cell r="C148" t="str">
            <v>gr</v>
          </cell>
          <cell r="D148">
            <v>1.55E-2</v>
          </cell>
          <cell r="E148" t="str">
            <v>tb</v>
          </cell>
          <cell r="F148">
            <v>1.1599999999999999</v>
          </cell>
        </row>
        <row r="149">
          <cell r="A149" t="str">
            <v>M606</v>
          </cell>
          <cell r="B149" t="str">
            <v>Tinta anti-corrosiva</v>
          </cell>
          <cell r="C149" t="str">
            <v>l</v>
          </cell>
          <cell r="D149">
            <v>6.95</v>
          </cell>
          <cell r="E149" t="str">
            <v>ba</v>
          </cell>
          <cell r="F149">
            <v>125.1</v>
          </cell>
        </row>
        <row r="150">
          <cell r="A150" t="str">
            <v>M607</v>
          </cell>
          <cell r="B150" t="str">
            <v>Óleo de linhaça</v>
          </cell>
          <cell r="C150" t="str">
            <v>l</v>
          </cell>
          <cell r="D150">
            <v>5.4</v>
          </cell>
          <cell r="E150" t="str">
            <v>tam</v>
          </cell>
          <cell r="F150">
            <v>1080</v>
          </cell>
        </row>
        <row r="151">
          <cell r="A151" t="str">
            <v>M608</v>
          </cell>
          <cell r="B151" t="str">
            <v>Detergente</v>
          </cell>
          <cell r="C151" t="str">
            <v>l</v>
          </cell>
          <cell r="D151">
            <v>0.94</v>
          </cell>
          <cell r="E151" t="str">
            <v>ba</v>
          </cell>
          <cell r="F151">
            <v>16.920000000000002</v>
          </cell>
        </row>
        <row r="152">
          <cell r="A152" t="str">
            <v>M609</v>
          </cell>
          <cell r="B152" t="str">
            <v>Tinta esmalte sintético fosco</v>
          </cell>
          <cell r="C152" t="str">
            <v>l</v>
          </cell>
          <cell r="D152">
            <v>7.78</v>
          </cell>
          <cell r="E152" t="str">
            <v>ba</v>
          </cell>
          <cell r="F152">
            <v>140.04</v>
          </cell>
        </row>
        <row r="153">
          <cell r="A153" t="str">
            <v>M610</v>
          </cell>
          <cell r="B153" t="str">
            <v>Pintura epóxica - barra D= 32mm</v>
          </cell>
          <cell r="C153" t="str">
            <v>m</v>
          </cell>
          <cell r="D153">
            <v>3.67</v>
          </cell>
          <cell r="E153" t="str">
            <v>m</v>
          </cell>
          <cell r="F153">
            <v>3.67</v>
          </cell>
        </row>
        <row r="154">
          <cell r="A154" t="str">
            <v>M611</v>
          </cell>
          <cell r="B154" t="str">
            <v>Redutor tipo 2002 prim. qualidade</v>
          </cell>
          <cell r="C154" t="str">
            <v>l</v>
          </cell>
          <cell r="D154">
            <v>3.2669999999999999</v>
          </cell>
          <cell r="E154" t="str">
            <v>l</v>
          </cell>
          <cell r="F154">
            <v>3.27</v>
          </cell>
        </row>
        <row r="155">
          <cell r="A155" t="str">
            <v>M612</v>
          </cell>
          <cell r="B155" t="str">
            <v>Lixa para ferro n. 100</v>
          </cell>
          <cell r="C155" t="str">
            <v>un</v>
          </cell>
          <cell r="D155">
            <v>0.75</v>
          </cell>
          <cell r="E155" t="str">
            <v>un</v>
          </cell>
          <cell r="F155">
            <v>0.75</v>
          </cell>
        </row>
        <row r="156">
          <cell r="A156" t="str">
            <v>M613</v>
          </cell>
          <cell r="B156" t="str">
            <v>Base de resina alquídica (primer)</v>
          </cell>
          <cell r="C156" t="str">
            <v>l</v>
          </cell>
          <cell r="D156">
            <v>4.88</v>
          </cell>
          <cell r="E156" t="str">
            <v>l</v>
          </cell>
          <cell r="F156">
            <v>4.88</v>
          </cell>
        </row>
        <row r="157">
          <cell r="A157" t="str">
            <v>M615</v>
          </cell>
          <cell r="B157" t="str">
            <v>Microesferas PRE-MIX</v>
          </cell>
          <cell r="C157" t="str">
            <v>kg</v>
          </cell>
          <cell r="D157">
            <v>2.3759999999999999</v>
          </cell>
          <cell r="E157" t="str">
            <v>kg</v>
          </cell>
          <cell r="F157">
            <v>2.38</v>
          </cell>
        </row>
        <row r="158">
          <cell r="A158" t="str">
            <v>M616</v>
          </cell>
          <cell r="B158" t="str">
            <v>Microesferas DROP-ON</v>
          </cell>
          <cell r="C158" t="str">
            <v>kg</v>
          </cell>
          <cell r="D158">
            <v>2.379</v>
          </cell>
          <cell r="E158" t="str">
            <v>kg</v>
          </cell>
          <cell r="F158">
            <v>2.38</v>
          </cell>
        </row>
        <row r="159">
          <cell r="A159" t="str">
            <v>M617</v>
          </cell>
          <cell r="B159" t="str">
            <v>Massa termoplástica para extrusão</v>
          </cell>
          <cell r="C159" t="str">
            <v>kg</v>
          </cell>
          <cell r="D159">
            <v>2.97</v>
          </cell>
          <cell r="E159" t="str">
            <v>kg</v>
          </cell>
          <cell r="F159">
            <v>2.97</v>
          </cell>
        </row>
        <row r="160">
          <cell r="A160" t="str">
            <v>M618</v>
          </cell>
          <cell r="B160" t="str">
            <v>Massa termoplástica para aspersão</v>
          </cell>
          <cell r="C160" t="str">
            <v>kg</v>
          </cell>
          <cell r="D160">
            <v>3.5089999999999999</v>
          </cell>
          <cell r="E160" t="str">
            <v>kg</v>
          </cell>
          <cell r="F160">
            <v>3.51</v>
          </cell>
        </row>
        <row r="161">
          <cell r="A161" t="str">
            <v>M619</v>
          </cell>
          <cell r="B161" t="str">
            <v>Cola poliester</v>
          </cell>
          <cell r="C161" t="str">
            <v>kg</v>
          </cell>
          <cell r="D161">
            <v>6.9</v>
          </cell>
          <cell r="E161" t="str">
            <v>kg</v>
          </cell>
          <cell r="F161">
            <v>6.9</v>
          </cell>
        </row>
        <row r="162">
          <cell r="A162" t="str">
            <v>M620</v>
          </cell>
          <cell r="B162" t="str">
            <v>Protetor de cura do concreto</v>
          </cell>
          <cell r="C162" t="str">
            <v>kg</v>
          </cell>
          <cell r="D162">
            <v>3.6246999999999998</v>
          </cell>
          <cell r="E162" t="str">
            <v>tam</v>
          </cell>
          <cell r="F162">
            <v>652.45000000000005</v>
          </cell>
        </row>
        <row r="163">
          <cell r="A163" t="str">
            <v>M621</v>
          </cell>
          <cell r="B163" t="str">
            <v>Desmoldante</v>
          </cell>
          <cell r="C163" t="str">
            <v>kg</v>
          </cell>
          <cell r="D163">
            <v>3.1371000000000002</v>
          </cell>
          <cell r="E163" t="str">
            <v>tam</v>
          </cell>
          <cell r="F163">
            <v>693.3</v>
          </cell>
        </row>
        <row r="164">
          <cell r="A164" t="str">
            <v>M622</v>
          </cell>
          <cell r="B164" t="str">
            <v>Interplast N</v>
          </cell>
          <cell r="C164" t="str">
            <v>kg</v>
          </cell>
          <cell r="D164">
            <v>4.7584999999999997</v>
          </cell>
          <cell r="E164" t="str">
            <v>sc</v>
          </cell>
          <cell r="F164">
            <v>95.17</v>
          </cell>
        </row>
        <row r="165">
          <cell r="A165" t="str">
            <v>M623</v>
          </cell>
          <cell r="B165" t="str">
            <v>Gás propano</v>
          </cell>
          <cell r="C165" t="str">
            <v>kg</v>
          </cell>
          <cell r="D165">
            <v>2.2400000000000002</v>
          </cell>
          <cell r="E165" t="str">
            <v>kg</v>
          </cell>
          <cell r="F165">
            <v>2.2400000000000002</v>
          </cell>
        </row>
        <row r="166">
          <cell r="A166" t="str">
            <v>M624</v>
          </cell>
          <cell r="B166" t="str">
            <v>Tinta para pré-marcação</v>
          </cell>
          <cell r="C166" t="str">
            <v>l</v>
          </cell>
          <cell r="D166">
            <v>6.2</v>
          </cell>
          <cell r="E166" t="str">
            <v>l</v>
          </cell>
          <cell r="F166">
            <v>6.2</v>
          </cell>
        </row>
        <row r="167">
          <cell r="A167" t="str">
            <v>M625</v>
          </cell>
          <cell r="B167" t="str">
            <v>Acetileno</v>
          </cell>
          <cell r="C167" t="str">
            <v>m3</v>
          </cell>
          <cell r="D167">
            <v>18.190000000000001</v>
          </cell>
          <cell r="E167" t="str">
            <v>m3</v>
          </cell>
          <cell r="F167">
            <v>18.190000000000001</v>
          </cell>
        </row>
        <row r="168">
          <cell r="A168" t="str">
            <v>M626</v>
          </cell>
          <cell r="B168" t="str">
            <v>Oxigênio</v>
          </cell>
          <cell r="C168" t="str">
            <v>m3</v>
          </cell>
          <cell r="D168">
            <v>7.2880000000000003</v>
          </cell>
          <cell r="E168" t="str">
            <v>m3</v>
          </cell>
          <cell r="F168">
            <v>7.29</v>
          </cell>
        </row>
        <row r="169">
          <cell r="A169" t="str">
            <v>M700</v>
          </cell>
          <cell r="B169" t="str">
            <v>Tijolo comum maciço (5,5x9x19) cm</v>
          </cell>
          <cell r="C169" t="str">
            <v>un</v>
          </cell>
          <cell r="D169">
            <v>0.14000000000000001</v>
          </cell>
          <cell r="E169" t="str">
            <v>mlh</v>
          </cell>
          <cell r="F169">
            <v>140</v>
          </cell>
        </row>
        <row r="170">
          <cell r="A170" t="str">
            <v>M702</v>
          </cell>
          <cell r="B170" t="str">
            <v>Cal hidratada</v>
          </cell>
          <cell r="C170" t="str">
            <v>kg</v>
          </cell>
          <cell r="D170">
            <v>0.12</v>
          </cell>
          <cell r="E170" t="str">
            <v>sc</v>
          </cell>
          <cell r="F170">
            <v>2.4</v>
          </cell>
        </row>
        <row r="171">
          <cell r="A171" t="str">
            <v>M703</v>
          </cell>
          <cell r="B171" t="str">
            <v>Tijolo 20 x 30 cm</v>
          </cell>
          <cell r="C171" t="str">
            <v>un</v>
          </cell>
          <cell r="D171">
            <v>0.1</v>
          </cell>
          <cell r="E171" t="str">
            <v>mlh</v>
          </cell>
          <cell r="F171">
            <v>100</v>
          </cell>
        </row>
        <row r="172">
          <cell r="A172" t="str">
            <v>M704</v>
          </cell>
          <cell r="B172" t="str">
            <v>Areia lavada</v>
          </cell>
          <cell r="C172" t="str">
            <v>m3</v>
          </cell>
          <cell r="D172">
            <v>6</v>
          </cell>
          <cell r="E172" t="str">
            <v>m3</v>
          </cell>
          <cell r="F172">
            <v>6</v>
          </cell>
        </row>
        <row r="173">
          <cell r="A173" t="str">
            <v>M705</v>
          </cell>
          <cell r="B173" t="str">
            <v>Pó de pedra</v>
          </cell>
          <cell r="C173" t="str">
            <v>m3</v>
          </cell>
          <cell r="D173">
            <v>8</v>
          </cell>
          <cell r="E173" t="str">
            <v>m3</v>
          </cell>
          <cell r="F173">
            <v>8</v>
          </cell>
        </row>
        <row r="174">
          <cell r="A174" t="str">
            <v>M709</v>
          </cell>
          <cell r="B174" t="str">
            <v>Brita corrida</v>
          </cell>
          <cell r="C174" t="str">
            <v>m3</v>
          </cell>
          <cell r="D174">
            <v>18</v>
          </cell>
          <cell r="E174" t="str">
            <v>m3</v>
          </cell>
          <cell r="F174">
            <v>18</v>
          </cell>
        </row>
        <row r="175">
          <cell r="A175" t="str">
            <v>M710</v>
          </cell>
          <cell r="B175" t="str">
            <v>Pedra de mão</v>
          </cell>
          <cell r="C175" t="str">
            <v>m3</v>
          </cell>
          <cell r="D175">
            <v>15</v>
          </cell>
          <cell r="E175" t="str">
            <v>m3</v>
          </cell>
          <cell r="F175">
            <v>15</v>
          </cell>
        </row>
        <row r="176">
          <cell r="A176" t="str">
            <v>M715</v>
          </cell>
          <cell r="B176" t="str">
            <v>Pó calcário dolomítico</v>
          </cell>
          <cell r="C176" t="str">
            <v>kg</v>
          </cell>
          <cell r="D176">
            <v>0.08</v>
          </cell>
          <cell r="E176" t="str">
            <v>kg</v>
          </cell>
          <cell r="F176">
            <v>0.08</v>
          </cell>
        </row>
        <row r="177">
          <cell r="A177" t="str">
            <v>M901</v>
          </cell>
          <cell r="B177" t="str">
            <v>Aparelho de apoio neoprene fretado</v>
          </cell>
          <cell r="C177" t="str">
            <v>dm3</v>
          </cell>
          <cell r="D177">
            <v>62.95</v>
          </cell>
          <cell r="E177" t="str">
            <v>dm3</v>
          </cell>
          <cell r="F177">
            <v>62.95</v>
          </cell>
        </row>
        <row r="178">
          <cell r="A178" t="str">
            <v>M902</v>
          </cell>
          <cell r="B178" t="str">
            <v>Tubo de PVC D=75 mm</v>
          </cell>
          <cell r="C178" t="str">
            <v>m</v>
          </cell>
          <cell r="D178">
            <v>2.57</v>
          </cell>
          <cell r="E178" t="str">
            <v>vr</v>
          </cell>
          <cell r="F178">
            <v>15.42</v>
          </cell>
        </row>
        <row r="179">
          <cell r="A179" t="str">
            <v>M903</v>
          </cell>
          <cell r="B179" t="str">
            <v>Manta sintética (Bidim) OP-20</v>
          </cell>
          <cell r="C179" t="str">
            <v>m2</v>
          </cell>
          <cell r="D179">
            <v>3.15</v>
          </cell>
          <cell r="E179" t="str">
            <v>m2</v>
          </cell>
          <cell r="F179">
            <v>3.15</v>
          </cell>
        </row>
        <row r="180">
          <cell r="A180" t="str">
            <v>M904</v>
          </cell>
          <cell r="B180" t="str">
            <v>Manta sintética (Bidim) OP-30</v>
          </cell>
          <cell r="C180" t="str">
            <v>m2</v>
          </cell>
          <cell r="D180">
            <v>2.95</v>
          </cell>
          <cell r="E180" t="str">
            <v>m2</v>
          </cell>
          <cell r="F180">
            <v>2.95</v>
          </cell>
        </row>
        <row r="181">
          <cell r="A181" t="str">
            <v>M905</v>
          </cell>
          <cell r="B181" t="str">
            <v>Filler</v>
          </cell>
          <cell r="C181" t="str">
            <v>kg</v>
          </cell>
          <cell r="D181">
            <v>0.06</v>
          </cell>
          <cell r="E181" t="str">
            <v>kg</v>
          </cell>
          <cell r="F181">
            <v>0.06</v>
          </cell>
        </row>
        <row r="182">
          <cell r="A182" t="str">
            <v>M906</v>
          </cell>
          <cell r="B182" t="str">
            <v>Sementes p/ hidrossemeadura</v>
          </cell>
          <cell r="C182" t="str">
            <v>kg</v>
          </cell>
          <cell r="D182">
            <v>12.5</v>
          </cell>
          <cell r="E182" t="str">
            <v>kg</v>
          </cell>
          <cell r="F182">
            <v>12.5</v>
          </cell>
        </row>
        <row r="183">
          <cell r="A183" t="str">
            <v>M907</v>
          </cell>
          <cell r="B183" t="str">
            <v>Adubo orgânico</v>
          </cell>
          <cell r="C183" t="str">
            <v>kg</v>
          </cell>
          <cell r="D183">
            <v>0.23</v>
          </cell>
          <cell r="E183" t="str">
            <v>t</v>
          </cell>
          <cell r="F183">
            <v>230</v>
          </cell>
        </row>
        <row r="184">
          <cell r="A184" t="str">
            <v>M908</v>
          </cell>
          <cell r="B184" t="str">
            <v>Eletrodo p/ solda eletr. OK 46.00</v>
          </cell>
          <cell r="C184" t="str">
            <v>kg</v>
          </cell>
          <cell r="D184">
            <v>4.4000000000000004</v>
          </cell>
          <cell r="E184" t="str">
            <v>kg</v>
          </cell>
          <cell r="F184">
            <v>4.4000000000000004</v>
          </cell>
        </row>
        <row r="185">
          <cell r="A185" t="str">
            <v>M909</v>
          </cell>
          <cell r="B185" t="str">
            <v>Tubo de PVC perfurado D=50 mm</v>
          </cell>
          <cell r="C185" t="str">
            <v>m</v>
          </cell>
          <cell r="D185">
            <v>1.9</v>
          </cell>
          <cell r="E185" t="str">
            <v>vr</v>
          </cell>
          <cell r="F185">
            <v>11.4</v>
          </cell>
        </row>
        <row r="186">
          <cell r="A186" t="str">
            <v>M910</v>
          </cell>
          <cell r="B186" t="str">
            <v>Tubo de PVC rígido D=50 mm</v>
          </cell>
          <cell r="C186" t="str">
            <v>m</v>
          </cell>
          <cell r="D186">
            <v>2.98</v>
          </cell>
          <cell r="E186" t="str">
            <v>vr</v>
          </cell>
          <cell r="F186">
            <v>17.88</v>
          </cell>
        </row>
        <row r="187">
          <cell r="A187" t="str">
            <v>M911</v>
          </cell>
          <cell r="B187" t="str">
            <v>Tubo de PVC D=100 mm</v>
          </cell>
          <cell r="C187" t="str">
            <v>m</v>
          </cell>
          <cell r="D187">
            <v>3.2</v>
          </cell>
          <cell r="E187" t="str">
            <v>vr</v>
          </cell>
          <cell r="F187">
            <v>19.2</v>
          </cell>
        </row>
        <row r="188">
          <cell r="A188" t="str">
            <v>M920</v>
          </cell>
          <cell r="B188" t="str">
            <v>Meio tubo de concreto D=40 cm</v>
          </cell>
          <cell r="C188" t="str">
            <v>m</v>
          </cell>
          <cell r="D188">
            <v>14</v>
          </cell>
          <cell r="E188" t="str">
            <v>m</v>
          </cell>
          <cell r="F188">
            <v>14</v>
          </cell>
        </row>
        <row r="189">
          <cell r="A189" t="str">
            <v>M930</v>
          </cell>
          <cell r="B189" t="str">
            <v>Gabião caixa 2x1x1m galvanizado</v>
          </cell>
          <cell r="C189" t="str">
            <v>un</v>
          </cell>
          <cell r="D189">
            <v>88.5</v>
          </cell>
          <cell r="E189" t="str">
            <v>un</v>
          </cell>
          <cell r="F189">
            <v>88.5</v>
          </cell>
        </row>
        <row r="190">
          <cell r="A190" t="str">
            <v>M935</v>
          </cell>
          <cell r="B190" t="str">
            <v>Terra arm. ECE - greide 0&lt;h&lt;6m</v>
          </cell>
          <cell r="C190" t="str">
            <v>m2</v>
          </cell>
          <cell r="D190">
            <v>86.67</v>
          </cell>
          <cell r="E190" t="str">
            <v>m2</v>
          </cell>
          <cell r="F190">
            <v>86.67</v>
          </cell>
        </row>
        <row r="191">
          <cell r="A191" t="str">
            <v>M936</v>
          </cell>
          <cell r="B191" t="str">
            <v>Terra arm. ECE - greide 6&lt;h&lt;9m</v>
          </cell>
          <cell r="C191" t="str">
            <v>m2</v>
          </cell>
          <cell r="D191">
            <v>111.85</v>
          </cell>
          <cell r="E191" t="str">
            <v>m2</v>
          </cell>
          <cell r="F191">
            <v>111.85</v>
          </cell>
        </row>
        <row r="192">
          <cell r="A192" t="str">
            <v>M937</v>
          </cell>
          <cell r="B192" t="str">
            <v>Terra arm. ECE - greide 9&lt;h&lt;12m</v>
          </cell>
          <cell r="C192" t="str">
            <v>m2</v>
          </cell>
          <cell r="D192">
            <v>162.96</v>
          </cell>
          <cell r="E192" t="str">
            <v>m2</v>
          </cell>
          <cell r="F192">
            <v>162.96</v>
          </cell>
        </row>
        <row r="193">
          <cell r="A193" t="str">
            <v>M938</v>
          </cell>
          <cell r="B193" t="str">
            <v>Terra arm. ECE- pé talude 0&lt;h&lt;6m</v>
          </cell>
          <cell r="C193" t="str">
            <v>m2</v>
          </cell>
          <cell r="D193">
            <v>99.26</v>
          </cell>
          <cell r="E193" t="str">
            <v>m2</v>
          </cell>
          <cell r="F193">
            <v>99.26</v>
          </cell>
        </row>
        <row r="194">
          <cell r="A194" t="str">
            <v>M939</v>
          </cell>
          <cell r="B194" t="str">
            <v>Terra arm. ECE- pé talude 6&lt;h&lt;9m</v>
          </cell>
          <cell r="C194" t="str">
            <v>m2</v>
          </cell>
          <cell r="D194">
            <v>137.04</v>
          </cell>
          <cell r="E194" t="str">
            <v>m2</v>
          </cell>
          <cell r="F194">
            <v>137.04</v>
          </cell>
        </row>
        <row r="195">
          <cell r="A195" t="str">
            <v>M940</v>
          </cell>
          <cell r="B195" t="str">
            <v>Terra arm. ECE- pé talude 9&lt;h&lt;12m</v>
          </cell>
          <cell r="C195" t="str">
            <v>m2</v>
          </cell>
          <cell r="D195">
            <v>199.26</v>
          </cell>
          <cell r="E195" t="str">
            <v>m2</v>
          </cell>
          <cell r="F195">
            <v>199.26</v>
          </cell>
        </row>
        <row r="196">
          <cell r="A196" t="str">
            <v>M941</v>
          </cell>
          <cell r="B196" t="str">
            <v>Terra arm. ECE-enc. portante 0&lt;h&lt;6m</v>
          </cell>
          <cell r="C196" t="str">
            <v>m2</v>
          </cell>
          <cell r="D196">
            <v>173.33</v>
          </cell>
          <cell r="E196" t="str">
            <v>m2</v>
          </cell>
          <cell r="F196">
            <v>173.33</v>
          </cell>
        </row>
        <row r="197">
          <cell r="A197" t="str">
            <v>M942</v>
          </cell>
          <cell r="B197" t="str">
            <v>Terra arm. ECE-enc. portante 6&lt;h&lt;9m</v>
          </cell>
          <cell r="C197" t="str">
            <v>m2</v>
          </cell>
          <cell r="D197">
            <v>223.7</v>
          </cell>
          <cell r="E197" t="str">
            <v>m2</v>
          </cell>
          <cell r="F197">
            <v>223.7</v>
          </cell>
        </row>
        <row r="198">
          <cell r="A198" t="str">
            <v>M945</v>
          </cell>
          <cell r="B198" t="str">
            <v>Haste para perfuratriz de esteira</v>
          </cell>
          <cell r="C198" t="str">
            <v>un</v>
          </cell>
          <cell r="D198">
            <v>470</v>
          </cell>
          <cell r="E198" t="str">
            <v>un</v>
          </cell>
          <cell r="F198">
            <v>470</v>
          </cell>
        </row>
        <row r="199">
          <cell r="A199" t="str">
            <v>M946</v>
          </cell>
          <cell r="B199" t="str">
            <v>Luva para perfuratriz de esteira</v>
          </cell>
          <cell r="C199" t="str">
            <v>un</v>
          </cell>
          <cell r="D199">
            <v>103</v>
          </cell>
          <cell r="E199" t="str">
            <v>un</v>
          </cell>
          <cell r="F199">
            <v>103</v>
          </cell>
        </row>
        <row r="200">
          <cell r="A200" t="str">
            <v>M947</v>
          </cell>
          <cell r="B200" t="str">
            <v>Punho para perfuratriz de esteira</v>
          </cell>
          <cell r="C200" t="str">
            <v>un</v>
          </cell>
          <cell r="D200">
            <v>301.51</v>
          </cell>
          <cell r="E200" t="str">
            <v>un</v>
          </cell>
          <cell r="F200">
            <v>301.51</v>
          </cell>
        </row>
        <row r="201">
          <cell r="A201" t="str">
            <v>M948</v>
          </cell>
          <cell r="B201" t="str">
            <v>Coroa para perfuratriz de esteira</v>
          </cell>
          <cell r="C201" t="str">
            <v>un</v>
          </cell>
          <cell r="D201">
            <v>490</v>
          </cell>
          <cell r="E201" t="str">
            <v>un</v>
          </cell>
          <cell r="F201">
            <v>490</v>
          </cell>
        </row>
        <row r="202">
          <cell r="A202" t="str">
            <v>M949</v>
          </cell>
          <cell r="B202" t="str">
            <v>Disco diam. p/ máq. de disco 48kW</v>
          </cell>
          <cell r="C202" t="str">
            <v>un</v>
          </cell>
          <cell r="D202">
            <v>589</v>
          </cell>
          <cell r="E202" t="str">
            <v>un</v>
          </cell>
          <cell r="F202">
            <v>589</v>
          </cell>
        </row>
        <row r="203">
          <cell r="A203" t="str">
            <v>M950</v>
          </cell>
          <cell r="B203" t="str">
            <v>Coroa de diamante linha NX</v>
          </cell>
          <cell r="C203" t="str">
            <v>un</v>
          </cell>
          <cell r="D203">
            <v>285.12</v>
          </cell>
          <cell r="E203" t="str">
            <v>un</v>
          </cell>
          <cell r="F203">
            <v>285.12</v>
          </cell>
        </row>
        <row r="204">
          <cell r="A204" t="str">
            <v>M951</v>
          </cell>
          <cell r="B204" t="str">
            <v>Calibrador de diamante linha NX</v>
          </cell>
          <cell r="C204" t="str">
            <v>un</v>
          </cell>
          <cell r="D204">
            <v>293.76</v>
          </cell>
          <cell r="E204" t="str">
            <v>un</v>
          </cell>
          <cell r="F204">
            <v>293.76</v>
          </cell>
        </row>
        <row r="205">
          <cell r="A205" t="str">
            <v>M952</v>
          </cell>
          <cell r="B205" t="str">
            <v>Mola comum linha NX</v>
          </cell>
          <cell r="C205" t="str">
            <v>un</v>
          </cell>
          <cell r="D205">
            <v>16.2</v>
          </cell>
          <cell r="E205" t="str">
            <v>un</v>
          </cell>
          <cell r="F205">
            <v>16.2</v>
          </cell>
        </row>
        <row r="206">
          <cell r="A206" t="str">
            <v>M953</v>
          </cell>
          <cell r="B206" t="str">
            <v>Barrilete simples linha NX</v>
          </cell>
          <cell r="C206" t="str">
            <v>un</v>
          </cell>
          <cell r="D206">
            <v>142.56</v>
          </cell>
          <cell r="E206" t="str">
            <v>un</v>
          </cell>
          <cell r="F206">
            <v>142.56</v>
          </cell>
        </row>
        <row r="207">
          <cell r="A207" t="str">
            <v>M954</v>
          </cell>
          <cell r="B207" t="str">
            <v>Haste paredes paraleleas c/ niples</v>
          </cell>
          <cell r="C207" t="str">
            <v>un</v>
          </cell>
          <cell r="D207">
            <v>176.04</v>
          </cell>
          <cell r="E207" t="str">
            <v>un</v>
          </cell>
          <cell r="F207">
            <v>176.04</v>
          </cell>
        </row>
        <row r="208">
          <cell r="A208" t="str">
            <v>M955</v>
          </cell>
          <cell r="B208" t="str">
            <v>Coroa de widia linha NX</v>
          </cell>
          <cell r="C208" t="str">
            <v>un</v>
          </cell>
          <cell r="D208">
            <v>76.680000000000007</v>
          </cell>
          <cell r="E208" t="str">
            <v>un</v>
          </cell>
          <cell r="F208">
            <v>76.680000000000007</v>
          </cell>
        </row>
        <row r="209">
          <cell r="A209" t="str">
            <v>M956</v>
          </cell>
          <cell r="B209" t="str">
            <v>Sapata de widia linha NX</v>
          </cell>
          <cell r="C209" t="str">
            <v>un</v>
          </cell>
          <cell r="D209">
            <v>70.2</v>
          </cell>
          <cell r="E209" t="str">
            <v>un</v>
          </cell>
          <cell r="F209">
            <v>70.2</v>
          </cell>
        </row>
        <row r="210">
          <cell r="A210" t="str">
            <v>M957</v>
          </cell>
          <cell r="B210" t="str">
            <v>Revestimento c/ conector linha NX</v>
          </cell>
          <cell r="C210" t="str">
            <v>un</v>
          </cell>
          <cell r="D210">
            <v>108</v>
          </cell>
          <cell r="E210" t="str">
            <v>un</v>
          </cell>
          <cell r="F210">
            <v>108</v>
          </cell>
        </row>
        <row r="211">
          <cell r="A211" t="str">
            <v>M958</v>
          </cell>
          <cell r="B211" t="str">
            <v>Calibrador de widia simples linh NX</v>
          </cell>
          <cell r="C211" t="str">
            <v>un</v>
          </cell>
          <cell r="D211">
            <v>76.680000000000007</v>
          </cell>
          <cell r="E211" t="str">
            <v>un</v>
          </cell>
          <cell r="F211">
            <v>76.680000000000007</v>
          </cell>
        </row>
        <row r="212">
          <cell r="A212" t="str">
            <v>M960</v>
          </cell>
          <cell r="B212" t="str">
            <v>Fio de nylon n. 40</v>
          </cell>
          <cell r="C212" t="str">
            <v>m</v>
          </cell>
          <cell r="D212">
            <v>0.03</v>
          </cell>
          <cell r="E212" t="str">
            <v>rl</v>
          </cell>
          <cell r="F212">
            <v>3</v>
          </cell>
        </row>
        <row r="213">
          <cell r="A213" t="str">
            <v>M969</v>
          </cell>
          <cell r="B213" t="str">
            <v>Película refletiva lentes expostas</v>
          </cell>
          <cell r="C213" t="str">
            <v>m2</v>
          </cell>
          <cell r="D213">
            <v>71.53</v>
          </cell>
          <cell r="E213" t="str">
            <v>m2</v>
          </cell>
          <cell r="F213">
            <v>71.53</v>
          </cell>
        </row>
        <row r="214">
          <cell r="A214" t="str">
            <v>M970</v>
          </cell>
          <cell r="B214" t="str">
            <v>Película refletiva lentes inclusas</v>
          </cell>
          <cell r="C214" t="str">
            <v>m2</v>
          </cell>
          <cell r="D214">
            <v>69.31</v>
          </cell>
          <cell r="E214" t="str">
            <v>m2</v>
          </cell>
          <cell r="F214">
            <v>69.31</v>
          </cell>
        </row>
        <row r="215">
          <cell r="A215" t="str">
            <v>M971</v>
          </cell>
          <cell r="B215" t="str">
            <v>Dispositivo anti-ofuscante</v>
          </cell>
          <cell r="C215" t="str">
            <v>m</v>
          </cell>
          <cell r="D215">
            <v>52</v>
          </cell>
          <cell r="E215" t="str">
            <v>m</v>
          </cell>
          <cell r="F215">
            <v>52</v>
          </cell>
        </row>
        <row r="216">
          <cell r="A216" t="str">
            <v>M972</v>
          </cell>
          <cell r="B216" t="str">
            <v>Tacha refletiva monodirecional</v>
          </cell>
          <cell r="C216" t="str">
            <v>un</v>
          </cell>
          <cell r="D216">
            <v>3.8</v>
          </cell>
          <cell r="E216" t="str">
            <v>un</v>
          </cell>
          <cell r="F216">
            <v>3.8</v>
          </cell>
        </row>
        <row r="217">
          <cell r="A217" t="str">
            <v>M973</v>
          </cell>
          <cell r="B217" t="str">
            <v>Tacha refletiva bidirecional</v>
          </cell>
          <cell r="C217" t="str">
            <v>un</v>
          </cell>
          <cell r="D217">
            <v>4.2</v>
          </cell>
          <cell r="E217" t="str">
            <v>un</v>
          </cell>
          <cell r="F217">
            <v>4.2</v>
          </cell>
        </row>
        <row r="218">
          <cell r="A218" t="str">
            <v>M974</v>
          </cell>
          <cell r="B218" t="str">
            <v>Tachão refletivo monodirecional</v>
          </cell>
          <cell r="C218" t="str">
            <v>un</v>
          </cell>
          <cell r="D218">
            <v>9.5</v>
          </cell>
          <cell r="E218" t="str">
            <v>un</v>
          </cell>
          <cell r="F218">
            <v>9.5</v>
          </cell>
        </row>
        <row r="219">
          <cell r="A219" t="str">
            <v>M975</v>
          </cell>
          <cell r="B219" t="str">
            <v>Tachão refletivo bidirecional</v>
          </cell>
          <cell r="C219" t="str">
            <v>un</v>
          </cell>
          <cell r="D219">
            <v>10.5</v>
          </cell>
          <cell r="E219" t="str">
            <v>un</v>
          </cell>
          <cell r="F219">
            <v>10.5</v>
          </cell>
        </row>
        <row r="220">
          <cell r="A220" t="str">
            <v>M976</v>
          </cell>
          <cell r="B220" t="str">
            <v>Baguete limitador de polietileno</v>
          </cell>
          <cell r="C220" t="str">
            <v>m</v>
          </cell>
          <cell r="D220">
            <v>0.56000000000000005</v>
          </cell>
          <cell r="E220" t="str">
            <v>m</v>
          </cell>
          <cell r="F220">
            <v>0.56000000000000005</v>
          </cell>
        </row>
        <row r="221">
          <cell r="A221" t="str">
            <v>M977</v>
          </cell>
          <cell r="B221" t="str">
            <v>Selante asfáltico polimerizado</v>
          </cell>
          <cell r="C221" t="str">
            <v>l</v>
          </cell>
          <cell r="D221">
            <v>24.68</v>
          </cell>
          <cell r="E221" t="str">
            <v>l</v>
          </cell>
          <cell r="F221">
            <v>24.68</v>
          </cell>
        </row>
        <row r="222">
          <cell r="A222" t="str">
            <v>M980</v>
          </cell>
          <cell r="B222" t="str">
            <v>Indenização de jazida</v>
          </cell>
          <cell r="C222" t="str">
            <v>m3</v>
          </cell>
          <cell r="D222">
            <v>0.84</v>
          </cell>
          <cell r="E222" t="str">
            <v>m3</v>
          </cell>
          <cell r="F222">
            <v>0.84</v>
          </cell>
        </row>
        <row r="223">
          <cell r="A223" t="str">
            <v>M982</v>
          </cell>
          <cell r="B223" t="str">
            <v>Isopor de 5cm de espessura</v>
          </cell>
          <cell r="C223" t="str">
            <v>m2</v>
          </cell>
          <cell r="D223">
            <v>5</v>
          </cell>
          <cell r="E223" t="str">
            <v>m2</v>
          </cell>
          <cell r="F223">
            <v>5</v>
          </cell>
        </row>
        <row r="224">
          <cell r="A224" t="str">
            <v>M983</v>
          </cell>
          <cell r="B224" t="str">
            <v>Disco diam. p/ máq. de disco 6kW</v>
          </cell>
          <cell r="C224" t="str">
            <v>un</v>
          </cell>
          <cell r="D224">
            <v>300</v>
          </cell>
          <cell r="E224" t="str">
            <v>un</v>
          </cell>
          <cell r="F224">
            <v>300</v>
          </cell>
        </row>
        <row r="225">
          <cell r="A225" t="str">
            <v>M984</v>
          </cell>
          <cell r="B225" t="str">
            <v>Chumbadores</v>
          </cell>
          <cell r="C225" t="str">
            <v>kg</v>
          </cell>
          <cell r="D225">
            <v>10.433299999999999</v>
          </cell>
          <cell r="E225" t="str">
            <v>pç</v>
          </cell>
          <cell r="F225">
            <v>3.13</v>
          </cell>
        </row>
        <row r="226">
          <cell r="A226" t="str">
            <v>M985</v>
          </cell>
          <cell r="B226" t="str">
            <v>Tubo plástico para purgadores</v>
          </cell>
          <cell r="C226" t="str">
            <v>m</v>
          </cell>
          <cell r="D226">
            <v>1.41</v>
          </cell>
          <cell r="E226" t="str">
            <v>m</v>
          </cell>
          <cell r="F226">
            <v>1.41</v>
          </cell>
        </row>
        <row r="227">
          <cell r="A227" t="str">
            <v>M996</v>
          </cell>
          <cell r="B227" t="str">
            <v>Material Demolido</v>
          </cell>
          <cell r="C227" t="str">
            <v>t</v>
          </cell>
          <cell r="D227">
            <v>0</v>
          </cell>
          <cell r="E227" t="str">
            <v>t</v>
          </cell>
          <cell r="F227">
            <v>0</v>
          </cell>
        </row>
        <row r="228">
          <cell r="A228" t="str">
            <v>M997</v>
          </cell>
          <cell r="B228" t="str">
            <v>Material Fresado</v>
          </cell>
          <cell r="C228" t="str">
            <v>t</v>
          </cell>
          <cell r="D228">
            <v>0</v>
          </cell>
          <cell r="E228" t="str">
            <v>t</v>
          </cell>
          <cell r="F228">
            <v>0</v>
          </cell>
        </row>
        <row r="229">
          <cell r="A229" t="str">
            <v>M998</v>
          </cell>
          <cell r="B229" t="str">
            <v>Madeira</v>
          </cell>
          <cell r="C229" t="str">
            <v>t</v>
          </cell>
          <cell r="D229">
            <v>0</v>
          </cell>
          <cell r="E229" t="str">
            <v>t</v>
          </cell>
          <cell r="F229">
            <v>0</v>
          </cell>
        </row>
        <row r="230">
          <cell r="A230" t="str">
            <v>M999</v>
          </cell>
          <cell r="B230" t="str">
            <v>Material retirado da pista</v>
          </cell>
          <cell r="C230" t="str">
            <v>t</v>
          </cell>
          <cell r="D230">
            <v>0</v>
          </cell>
          <cell r="E230" t="str">
            <v>t</v>
          </cell>
          <cell r="F230">
            <v>0</v>
          </cell>
        </row>
      </sheetData>
      <sheetData sheetId="20" refreshError="1">
        <row r="1">
          <cell r="A1" t="str">
            <v>E001</v>
          </cell>
          <cell r="B1" t="str">
            <v xml:space="preserve">Trator de Esteiras: D4E-PS/4A - com lâmina  </v>
          </cell>
          <cell r="C1" t="str">
            <v xml:space="preserve"> Diesel</v>
          </cell>
          <cell r="D1">
            <v>5.4363000000000001</v>
          </cell>
          <cell r="E1">
            <v>53.947299999999998</v>
          </cell>
        </row>
        <row r="2">
          <cell r="A2" t="str">
            <v>E002</v>
          </cell>
          <cell r="B2" t="str">
            <v xml:space="preserve">Trator de Esteiras: D6M-XL/6A - com lâmina  </v>
          </cell>
          <cell r="C2" t="str">
            <v xml:space="preserve"> Diesel</v>
          </cell>
          <cell r="D2">
            <v>5.4363000000000001</v>
          </cell>
          <cell r="E2">
            <v>77.576700000000002</v>
          </cell>
        </row>
        <row r="3">
          <cell r="A3" t="str">
            <v>E003</v>
          </cell>
          <cell r="B3" t="str">
            <v xml:space="preserve">Trator de Esteiras: D8R - com lâmina  </v>
          </cell>
          <cell r="C3" t="str">
            <v xml:space="preserve"> Diesel</v>
          </cell>
          <cell r="D3">
            <v>5.4363000000000001</v>
          </cell>
          <cell r="E3">
            <v>144.51490000000001</v>
          </cell>
        </row>
        <row r="4">
          <cell r="A4" t="str">
            <v>E005</v>
          </cell>
          <cell r="B4" t="str">
            <v xml:space="preserve">Motoscraper: 621F -   </v>
          </cell>
          <cell r="C4" t="str">
            <v xml:space="preserve"> Diesel</v>
          </cell>
          <cell r="D4">
            <v>5.4363000000000001</v>
          </cell>
          <cell r="E4">
            <v>158.85830000000001</v>
          </cell>
        </row>
        <row r="5">
          <cell r="A5" t="str">
            <v>E006</v>
          </cell>
          <cell r="B5" t="str">
            <v xml:space="preserve">Motoniveladora: 120G -   </v>
          </cell>
          <cell r="C5" t="str">
            <v xml:space="preserve"> Diesel</v>
          </cell>
          <cell r="D5">
            <v>5.7469999999999999</v>
          </cell>
          <cell r="E5">
            <v>52.1905</v>
          </cell>
        </row>
        <row r="6">
          <cell r="A6" t="str">
            <v>E007</v>
          </cell>
          <cell r="B6" t="str">
            <v xml:space="preserve">Trator Agrícola: 620/4 - 80 a 115 hp  </v>
          </cell>
          <cell r="C6" t="str">
            <v xml:space="preserve"> Diesel</v>
          </cell>
          <cell r="D6">
            <v>4.1938000000000004</v>
          </cell>
          <cell r="E6">
            <v>27.098500000000001</v>
          </cell>
        </row>
        <row r="7">
          <cell r="A7" t="str">
            <v>E008</v>
          </cell>
          <cell r="B7" t="str">
            <v xml:space="preserve">Escavadeira Hidráulica: 888-CKE - com drag line 760 l  </v>
          </cell>
          <cell r="C7" t="str">
            <v xml:space="preserve"> Diesel</v>
          </cell>
          <cell r="D7">
            <v>5.7469999999999999</v>
          </cell>
          <cell r="E7">
            <v>60.406999999999996</v>
          </cell>
        </row>
        <row r="8">
          <cell r="A8" t="str">
            <v>E009</v>
          </cell>
          <cell r="B8" t="str">
            <v xml:space="preserve">Carregadeira de Pneus: 924F - 1,72 m3  </v>
          </cell>
          <cell r="C8" t="str">
            <v xml:space="preserve"> Diesel</v>
          </cell>
          <cell r="D8">
            <v>5.4363000000000001</v>
          </cell>
          <cell r="E8">
            <v>41.526699999999998</v>
          </cell>
        </row>
        <row r="9">
          <cell r="A9" t="str">
            <v>E010</v>
          </cell>
          <cell r="B9" t="str">
            <v xml:space="preserve">Carregadeira de Pneus: 950F - 3,1 m3  </v>
          </cell>
          <cell r="C9" t="str">
            <v xml:space="preserve"> Diesel</v>
          </cell>
          <cell r="D9">
            <v>5.4363000000000001</v>
          </cell>
          <cell r="E9">
            <v>68.135400000000004</v>
          </cell>
        </row>
        <row r="10">
          <cell r="A10" t="str">
            <v>E011</v>
          </cell>
          <cell r="B10" t="str">
            <v xml:space="preserve">Retroescavadeira: MF-86HD -   </v>
          </cell>
          <cell r="C10" t="str">
            <v xml:space="preserve"> Diesel</v>
          </cell>
          <cell r="D10">
            <v>5.4363000000000001</v>
          </cell>
          <cell r="E10">
            <v>32.604300000000002</v>
          </cell>
        </row>
        <row r="11">
          <cell r="A11" t="str">
            <v>E012</v>
          </cell>
          <cell r="B11" t="str">
            <v xml:space="preserve">Rolo Compactador: PC-2 - pé de carneiro reb. 3,45 / 4,6 t  </v>
          </cell>
          <cell r="C11" t="str">
            <v xml:space="preserve"> Não utiliza energia</v>
          </cell>
          <cell r="D11">
            <v>0</v>
          </cell>
          <cell r="E11">
            <v>0.82709999999999995</v>
          </cell>
        </row>
        <row r="12">
          <cell r="A12" t="str">
            <v>E013</v>
          </cell>
          <cell r="B12" t="str">
            <v xml:space="preserve">Rolo Compactador: CA-25-PP - pé de carneiro autop. 11,25t vibrat  </v>
          </cell>
          <cell r="C12" t="str">
            <v xml:space="preserve"> Diesel</v>
          </cell>
          <cell r="D12">
            <v>4.1938000000000004</v>
          </cell>
          <cell r="E12">
            <v>45.536099999999998</v>
          </cell>
        </row>
        <row r="13">
          <cell r="A13" t="str">
            <v>E014</v>
          </cell>
          <cell r="B13" t="str">
            <v xml:space="preserve">Trator de Esteiras: D8R/RB - com escarificador  </v>
          </cell>
          <cell r="C13" t="str">
            <v xml:space="preserve"> Diesel</v>
          </cell>
          <cell r="D13">
            <v>5.4363000000000001</v>
          </cell>
          <cell r="E13">
            <v>145.5427</v>
          </cell>
        </row>
        <row r="14">
          <cell r="A14" t="str">
            <v>E015</v>
          </cell>
          <cell r="B14" t="str">
            <v xml:space="preserve">Motoniveladora: 140G -   </v>
          </cell>
          <cell r="C14" t="str">
            <v xml:space="preserve"> Diesel</v>
          </cell>
          <cell r="D14">
            <v>5.7469999999999999</v>
          </cell>
          <cell r="E14">
            <v>63.596499999999999</v>
          </cell>
        </row>
        <row r="15">
          <cell r="A15" t="str">
            <v>E016</v>
          </cell>
          <cell r="B15" t="str">
            <v xml:space="preserve">Carregadeira de Pneus: W18E J L - 1,33 m3  </v>
          </cell>
          <cell r="C15" t="str">
            <v xml:space="preserve"> Diesel</v>
          </cell>
          <cell r="D15">
            <v>5.4363000000000001</v>
          </cell>
          <cell r="E15">
            <v>35.982300000000002</v>
          </cell>
        </row>
        <row r="16">
          <cell r="A16" t="str">
            <v>E055</v>
          </cell>
          <cell r="B16" t="str">
            <v xml:space="preserve">Rolo Compactador: CP433C - pé de carneiro vibratório  </v>
          </cell>
          <cell r="C16" t="str">
            <v xml:space="preserve"> Diesel</v>
          </cell>
          <cell r="D16">
            <v>4.1938000000000004</v>
          </cell>
          <cell r="E16">
            <v>41.104199999999999</v>
          </cell>
        </row>
        <row r="17">
          <cell r="A17" t="str">
            <v>E056</v>
          </cell>
          <cell r="B17" t="str">
            <v xml:space="preserve">Rolo Compactador: CT-262 - pé de carneiro tamping  </v>
          </cell>
          <cell r="C17" t="str">
            <v xml:space="preserve"> Diesel</v>
          </cell>
          <cell r="D17">
            <v>4.1938000000000004</v>
          </cell>
          <cell r="E17">
            <v>93.690299999999993</v>
          </cell>
        </row>
        <row r="18">
          <cell r="A18" t="str">
            <v>E062</v>
          </cell>
          <cell r="B18" t="str">
            <v xml:space="preserve">Escavadeira Hidráulica: 330 - com esteira - cap. 1,7 m3  </v>
          </cell>
          <cell r="C18" t="str">
            <v xml:space="preserve"> Diesel</v>
          </cell>
          <cell r="D18">
            <v>5.7469999999999999</v>
          </cell>
          <cell r="E18">
            <v>129.6935</v>
          </cell>
        </row>
        <row r="19">
          <cell r="A19" t="str">
            <v>E063</v>
          </cell>
          <cell r="B19" t="str">
            <v xml:space="preserve">Escavadeira Hidráulica: 320L - c/ est. - cap 600l p/ longo alcance  </v>
          </cell>
          <cell r="C19" t="str">
            <v xml:space="preserve"> Diesel</v>
          </cell>
          <cell r="D19">
            <v>5.7469999999999999</v>
          </cell>
          <cell r="E19">
            <v>68.950999999999993</v>
          </cell>
        </row>
        <row r="20">
          <cell r="A20" t="str">
            <v>E065</v>
          </cell>
          <cell r="B20" t="str">
            <v xml:space="preserve">Draga de Sucção: p/ extração de Areia  6"  </v>
          </cell>
          <cell r="C20" t="str">
            <v xml:space="preserve"> Diesel</v>
          </cell>
          <cell r="D20">
            <v>0</v>
          </cell>
          <cell r="E20">
            <v>12.652200000000001</v>
          </cell>
        </row>
        <row r="21">
          <cell r="A21" t="str">
            <v>E066</v>
          </cell>
          <cell r="B21" t="str">
            <v xml:space="preserve">Chata - 25m3: com rebocador  </v>
          </cell>
          <cell r="C21" t="str">
            <v xml:space="preserve"> Diesel</v>
          </cell>
          <cell r="D21">
            <v>5.2809999999999997</v>
          </cell>
          <cell r="E21">
            <v>44.421399999999998</v>
          </cell>
        </row>
        <row r="22">
          <cell r="A22" t="str">
            <v>E101</v>
          </cell>
          <cell r="B22" t="str">
            <v xml:space="preserve">Grade de Discos: GA 24 x 24  </v>
          </cell>
          <cell r="C22" t="str">
            <v xml:space="preserve"> Não utiliza energia</v>
          </cell>
          <cell r="D22">
            <v>0</v>
          </cell>
          <cell r="E22">
            <v>0.94110000000000005</v>
          </cell>
        </row>
        <row r="23">
          <cell r="A23" t="str">
            <v>E102</v>
          </cell>
          <cell r="B23" t="str">
            <v xml:space="preserve">Rolo Compactador: CC-431 - Tanden vibrat. autoprop. 10,9 t  </v>
          </cell>
          <cell r="C23" t="str">
            <v xml:space="preserve"> Diesel</v>
          </cell>
          <cell r="D23">
            <v>4.1938000000000004</v>
          </cell>
          <cell r="E23">
            <v>50.396099999999997</v>
          </cell>
        </row>
        <row r="24">
          <cell r="A24" t="str">
            <v>E103</v>
          </cell>
          <cell r="B24" t="str">
            <v xml:space="preserve">Rolo Compactador: SPV 84 - liso, vibrat. autoprop. 11,6 t  </v>
          </cell>
          <cell r="C24" t="str">
            <v xml:space="preserve"> Diesel</v>
          </cell>
          <cell r="D24">
            <v>4.1938000000000004</v>
          </cell>
          <cell r="E24">
            <v>47.619500000000002</v>
          </cell>
        </row>
        <row r="25">
          <cell r="A25" t="str">
            <v>E104</v>
          </cell>
          <cell r="B25" t="str">
            <v xml:space="preserve">Rolo Compactador: CC-222 - liso, tanden vibrat. autoprop. 7,2  </v>
          </cell>
          <cell r="C25" t="str">
            <v xml:space="preserve"> Diesel</v>
          </cell>
          <cell r="D25">
            <v>4.1938000000000004</v>
          </cell>
          <cell r="E25">
            <v>40.826099999999997</v>
          </cell>
        </row>
        <row r="26">
          <cell r="A26" t="str">
            <v>E105</v>
          </cell>
          <cell r="B26" t="str">
            <v xml:space="preserve">Rolo Compactador: SP 8000 - de pneus autoprop. 21 t  </v>
          </cell>
          <cell r="C26" t="str">
            <v xml:space="preserve"> Diesel</v>
          </cell>
          <cell r="D26">
            <v>4.1938000000000004</v>
          </cell>
          <cell r="E26">
            <v>50.769300000000001</v>
          </cell>
        </row>
        <row r="27">
          <cell r="A27" t="str">
            <v>E106</v>
          </cell>
          <cell r="B27" t="str">
            <v xml:space="preserve">Usina Misturadora: USC-2 - de solos 350 / 600 t/h  </v>
          </cell>
          <cell r="C27" t="str">
            <v xml:space="preserve"> Elétrico</v>
          </cell>
          <cell r="D27">
            <v>5.7469999999999999</v>
          </cell>
          <cell r="E27">
            <v>28.718399999999999</v>
          </cell>
        </row>
        <row r="28">
          <cell r="A28" t="str">
            <v>E107</v>
          </cell>
          <cell r="B28" t="str">
            <v xml:space="preserve">Vassoura Mecânica: rebocável  </v>
          </cell>
          <cell r="C28" t="str">
            <v xml:space="preserve"> Não utiliza energia</v>
          </cell>
          <cell r="D28">
            <v>0</v>
          </cell>
          <cell r="E28">
            <v>2.85</v>
          </cell>
        </row>
        <row r="29">
          <cell r="A29" t="str">
            <v>E108</v>
          </cell>
          <cell r="B29" t="str">
            <v xml:space="preserve">Distribuidor de Agregados: rebocável  </v>
          </cell>
          <cell r="C29" t="str">
            <v xml:space="preserve"> Não utiliza energia</v>
          </cell>
          <cell r="D29">
            <v>0</v>
          </cell>
          <cell r="E29">
            <v>2.1840000000000002</v>
          </cell>
        </row>
        <row r="30">
          <cell r="A30" t="str">
            <v>E109</v>
          </cell>
          <cell r="B30" t="str">
            <v xml:space="preserve">Distribuidor de Agregados: SD-1 - autopropelido  </v>
          </cell>
          <cell r="C30" t="str">
            <v xml:space="preserve"> Diesel</v>
          </cell>
          <cell r="D30">
            <v>5.4363000000000001</v>
          </cell>
          <cell r="E30">
            <v>30.139399999999998</v>
          </cell>
        </row>
        <row r="31">
          <cell r="A31" t="str">
            <v>E110</v>
          </cell>
          <cell r="B31" t="str">
            <v xml:space="preserve">Tanque de Estocagem de Asfalto: 20.000 l  </v>
          </cell>
          <cell r="C31" t="str">
            <v xml:space="preserve"> Não utiliza energia</v>
          </cell>
          <cell r="D31">
            <v>0</v>
          </cell>
          <cell r="E31">
            <v>0.96599999999999997</v>
          </cell>
        </row>
        <row r="32">
          <cell r="A32" t="str">
            <v>E111</v>
          </cell>
          <cell r="B32" t="str">
            <v xml:space="preserve">Equip. Distribuição de Asfalto: montado em caminhão  </v>
          </cell>
          <cell r="C32" t="str">
            <v xml:space="preserve"> Diesel</v>
          </cell>
          <cell r="D32">
            <v>4.9703999999999997</v>
          </cell>
          <cell r="E32">
            <v>42.822899999999997</v>
          </cell>
        </row>
        <row r="33">
          <cell r="A33" t="str">
            <v>E112</v>
          </cell>
          <cell r="B33" t="str">
            <v xml:space="preserve">Aquecedor de Fluido Térmico: TH III -   </v>
          </cell>
          <cell r="C33" t="str">
            <v xml:space="preserve"> Elétrico</v>
          </cell>
          <cell r="D33">
            <v>0</v>
          </cell>
          <cell r="E33">
            <v>4.0125000000000002</v>
          </cell>
        </row>
        <row r="34">
          <cell r="A34" t="str">
            <v>E113</v>
          </cell>
          <cell r="B34" t="str">
            <v xml:space="preserve">Usina de Asfalto a Quente: DMC-2 - 40 / 60 t/h  </v>
          </cell>
          <cell r="C34" t="str">
            <v xml:space="preserve"> Elétrico</v>
          </cell>
          <cell r="D34">
            <v>5.7469999999999999</v>
          </cell>
          <cell r="E34">
            <v>84.634799999999998</v>
          </cell>
        </row>
        <row r="35">
          <cell r="A35" t="str">
            <v>E114</v>
          </cell>
          <cell r="B35" t="str">
            <v xml:space="preserve">Vibro-acabadora de Asfalto: VDA-206 - sobre pneus  </v>
          </cell>
          <cell r="C35" t="str">
            <v xml:space="preserve"> Diesel</v>
          </cell>
          <cell r="D35">
            <v>5.7469999999999999</v>
          </cell>
          <cell r="E35">
            <v>21.054200000000002</v>
          </cell>
        </row>
        <row r="36">
          <cell r="A36" t="str">
            <v>E115</v>
          </cell>
          <cell r="B36" t="str">
            <v xml:space="preserve">Usina Misturadora: USC-2 - pré mist. a frio 60/100 t/h  </v>
          </cell>
          <cell r="C36" t="str">
            <v xml:space="preserve"> Elétrico</v>
          </cell>
          <cell r="D36">
            <v>5.7469999999999999</v>
          </cell>
          <cell r="E36">
            <v>25.367000000000001</v>
          </cell>
        </row>
        <row r="37">
          <cell r="A37" t="str">
            <v>E116</v>
          </cell>
          <cell r="B37" t="str">
            <v xml:space="preserve">Usina Misturadora: USC-2 - pré mist. a frio 30/60 t/h  </v>
          </cell>
          <cell r="C37" t="str">
            <v xml:space="preserve"> Elétrico</v>
          </cell>
          <cell r="D37">
            <v>5.7469999999999999</v>
          </cell>
          <cell r="E37">
            <v>16.292000000000002</v>
          </cell>
        </row>
        <row r="38">
          <cell r="A38" t="str">
            <v>E117</v>
          </cell>
          <cell r="B38" t="str">
            <v xml:space="preserve">Rolo Compactador: RT82H - estático Tanden autoprop. 8,9 t  </v>
          </cell>
          <cell r="C38" t="str">
            <v xml:space="preserve"> Diesel</v>
          </cell>
          <cell r="D38">
            <v>4.1938000000000004</v>
          </cell>
          <cell r="E38">
            <v>21.779699999999998</v>
          </cell>
        </row>
        <row r="39">
          <cell r="A39" t="str">
            <v>E118</v>
          </cell>
          <cell r="B39" t="str">
            <v xml:space="preserve">Rolo Compactador: Tanden vibrat. 1,6 t  </v>
          </cell>
          <cell r="C39" t="str">
            <v xml:space="preserve"> Diesel</v>
          </cell>
          <cell r="D39">
            <v>4.1938000000000004</v>
          </cell>
          <cell r="E39">
            <v>11.114800000000001</v>
          </cell>
        </row>
        <row r="40">
          <cell r="A40" t="str">
            <v>E119</v>
          </cell>
          <cell r="B40" t="str">
            <v xml:space="preserve">Rolo Compactador: AP23 - de pneus estat. autoprop. 23 t  </v>
          </cell>
          <cell r="C40" t="str">
            <v xml:space="preserve"> Diesel</v>
          </cell>
          <cell r="D40">
            <v>4.1938000000000004</v>
          </cell>
          <cell r="E40">
            <v>34.246499999999997</v>
          </cell>
        </row>
        <row r="41">
          <cell r="A41" t="str">
            <v>E121</v>
          </cell>
          <cell r="B41" t="str">
            <v xml:space="preserve">Rolo Compactador: CA15 - liso vibrat.autoprop. 6,6 t  </v>
          </cell>
          <cell r="C41" t="str">
            <v xml:space="preserve"> Diesel</v>
          </cell>
          <cell r="D41">
            <v>4.1938000000000004</v>
          </cell>
          <cell r="E41">
            <v>33.888399999999997</v>
          </cell>
        </row>
        <row r="42">
          <cell r="A42" t="str">
            <v>E122</v>
          </cell>
          <cell r="B42" t="str">
            <v xml:space="preserve">Equip. Distribuição Lama Asfáltica: montado em caminhão  </v>
          </cell>
          <cell r="C42" t="str">
            <v xml:space="preserve"> Diesel</v>
          </cell>
          <cell r="D42">
            <v>4.9703999999999997</v>
          </cell>
          <cell r="E42">
            <v>55.874299999999998</v>
          </cell>
        </row>
        <row r="43">
          <cell r="A43" t="str">
            <v>E123</v>
          </cell>
          <cell r="B43" t="str">
            <v xml:space="preserve">Caldeira de Asfalto Rebocável: CA-1 - 600 l  </v>
          </cell>
          <cell r="C43" t="str">
            <v xml:space="preserve"> Elétrico</v>
          </cell>
          <cell r="D43">
            <v>0</v>
          </cell>
          <cell r="E43">
            <v>1.9792000000000001</v>
          </cell>
        </row>
        <row r="44">
          <cell r="A44" t="str">
            <v>E124</v>
          </cell>
          <cell r="B44" t="str">
            <v xml:space="preserve">Usina de Asfalto a Quente: gravim 100/140 t/h  </v>
          </cell>
          <cell r="C44" t="str">
            <v xml:space="preserve"> Elétrico</v>
          </cell>
          <cell r="D44">
            <v>5.7469999999999999</v>
          </cell>
          <cell r="E44">
            <v>114.9106</v>
          </cell>
        </row>
        <row r="45">
          <cell r="A45" t="str">
            <v>E126</v>
          </cell>
          <cell r="B45" t="str">
            <v xml:space="preserve">Fresadora a Frio: 1000 C -   </v>
          </cell>
          <cell r="C45" t="str">
            <v xml:space="preserve"> Diesel</v>
          </cell>
          <cell r="D45">
            <v>5.7469999999999999</v>
          </cell>
          <cell r="E45">
            <v>137.417</v>
          </cell>
        </row>
        <row r="46">
          <cell r="A46" t="str">
            <v>E127</v>
          </cell>
          <cell r="B46" t="str">
            <v xml:space="preserve">Fresadora a Frio: 2000 DC -   </v>
          </cell>
          <cell r="C46" t="str">
            <v xml:space="preserve"> Diesel</v>
          </cell>
          <cell r="D46">
            <v>5.7469999999999999</v>
          </cell>
          <cell r="E46">
            <v>284.22500000000002</v>
          </cell>
        </row>
        <row r="47">
          <cell r="A47" t="str">
            <v>E138</v>
          </cell>
          <cell r="B47" t="str">
            <v xml:space="preserve">Estabilizador/Recicladora a Frio: RR/SS-250 -   </v>
          </cell>
          <cell r="C47" t="str">
            <v xml:space="preserve"> Diesel</v>
          </cell>
          <cell r="D47">
            <v>5.7469999999999999</v>
          </cell>
          <cell r="E47">
            <v>203.68700000000001</v>
          </cell>
        </row>
        <row r="48">
          <cell r="A48" t="str">
            <v>E139</v>
          </cell>
          <cell r="B48" t="str">
            <v xml:space="preserve">Rolo Compactador: CA25 - liso auto. vibrat.  </v>
          </cell>
          <cell r="C48" t="str">
            <v xml:space="preserve"> Diesel</v>
          </cell>
          <cell r="D48">
            <v>4.1938000000000004</v>
          </cell>
          <cell r="E48">
            <v>42.997999999999998</v>
          </cell>
        </row>
        <row r="49">
          <cell r="A49" t="str">
            <v>E142</v>
          </cell>
          <cell r="B49" t="str">
            <v xml:space="preserve">Rolo Compactador: CP271 - de pneus  </v>
          </cell>
          <cell r="C49" t="str">
            <v xml:space="preserve"> Diesel</v>
          </cell>
          <cell r="D49">
            <v>4.1938000000000004</v>
          </cell>
          <cell r="E49">
            <v>41.012599999999999</v>
          </cell>
        </row>
        <row r="50">
          <cell r="A50" t="str">
            <v>E147</v>
          </cell>
          <cell r="B50" t="str">
            <v xml:space="preserve">Usina de Asfalto a Quente: DMC-2 - 90/120 t/h com filtro de manga  </v>
          </cell>
          <cell r="C50" t="str">
            <v xml:space="preserve"> Elétrico</v>
          </cell>
          <cell r="D50">
            <v>5.7469999999999999</v>
          </cell>
          <cell r="E50">
            <v>88.358599999999996</v>
          </cell>
        </row>
        <row r="51">
          <cell r="A51" t="str">
            <v>E149</v>
          </cell>
          <cell r="B51" t="str">
            <v xml:space="preserve">Vibro-acabadora de Asfalto: VDA-600BM - sobre esteiras  </v>
          </cell>
          <cell r="C51" t="str">
            <v xml:space="preserve"> Diesel</v>
          </cell>
          <cell r="D51">
            <v>5.7469999999999999</v>
          </cell>
          <cell r="E51">
            <v>52.372999999999998</v>
          </cell>
        </row>
        <row r="52">
          <cell r="A52" t="str">
            <v>E151</v>
          </cell>
          <cell r="B52" t="str">
            <v xml:space="preserve">Rolo Compactador: SP5500 - autoprop. de pneus 20 t  </v>
          </cell>
          <cell r="C52" t="str">
            <v xml:space="preserve"> Diesel</v>
          </cell>
          <cell r="D52">
            <v>4.1938000000000004</v>
          </cell>
          <cell r="E52">
            <v>34.217300000000002</v>
          </cell>
        </row>
        <row r="53">
          <cell r="A53" t="str">
            <v>E153</v>
          </cell>
          <cell r="B53" t="str">
            <v xml:space="preserve">Recicladora de Pavimento: a quente "in situ"  </v>
          </cell>
          <cell r="C53" t="str">
            <v xml:space="preserve"> Diesel</v>
          </cell>
          <cell r="D53">
            <v>11.494</v>
          </cell>
          <cell r="E53">
            <v>387.23480000000001</v>
          </cell>
        </row>
        <row r="54">
          <cell r="A54" t="str">
            <v>E156</v>
          </cell>
          <cell r="B54" t="str">
            <v xml:space="preserve">Trator Uniloader: 1845 - C - c/ vassoura de 1,80 m  </v>
          </cell>
          <cell r="C54" t="str">
            <v xml:space="preserve"> Diesel</v>
          </cell>
          <cell r="D54">
            <v>5.4363000000000001</v>
          </cell>
          <cell r="E54">
            <v>24.787800000000001</v>
          </cell>
        </row>
        <row r="55">
          <cell r="A55" t="str">
            <v>E160</v>
          </cell>
          <cell r="B55" t="str">
            <v xml:space="preserve">Fresadora e Distribuidora de solo: 9500 - para regular sub leito  </v>
          </cell>
          <cell r="C55" t="str">
            <v xml:space="preserve"> Diesel</v>
          </cell>
          <cell r="D55">
            <v>5.7469999999999999</v>
          </cell>
          <cell r="E55">
            <v>234.64689999999999</v>
          </cell>
        </row>
        <row r="56">
          <cell r="A56" t="str">
            <v>E161</v>
          </cell>
          <cell r="B56" t="str">
            <v xml:space="preserve">Equip. Distr. de L.A. Rupt. Contr.: MICROFLEX - acoplado em cavalo mecânico  </v>
          </cell>
          <cell r="C56" t="str">
            <v xml:space="preserve"> Diesel</v>
          </cell>
          <cell r="D56">
            <v>5.2809999999999997</v>
          </cell>
          <cell r="E56">
            <v>104.0889</v>
          </cell>
        </row>
        <row r="57">
          <cell r="A57" t="str">
            <v>E201</v>
          </cell>
          <cell r="B57" t="str">
            <v xml:space="preserve">Compressor de Ar: XA 125PD - 250 PCM  </v>
          </cell>
          <cell r="C57" t="str">
            <v xml:space="preserve"> Diesel</v>
          </cell>
          <cell r="D57">
            <v>4.1938000000000004</v>
          </cell>
          <cell r="E57">
            <v>20.5779</v>
          </cell>
        </row>
        <row r="58">
          <cell r="A58" t="str">
            <v>E202</v>
          </cell>
          <cell r="B58" t="str">
            <v xml:space="preserve">Compressor de Ar: XA 175 - 350 PCM  </v>
          </cell>
          <cell r="C58" t="str">
            <v xml:space="preserve"> Diesel</v>
          </cell>
          <cell r="D58">
            <v>4.1938000000000004</v>
          </cell>
          <cell r="E58">
            <v>26.444299999999998</v>
          </cell>
        </row>
        <row r="59">
          <cell r="A59" t="str">
            <v>E203</v>
          </cell>
          <cell r="B59" t="str">
            <v xml:space="preserve">Compressor de Ar: XA 360 SD - 764 PCM  </v>
          </cell>
          <cell r="C59" t="str">
            <v xml:space="preserve"> Diesel</v>
          </cell>
          <cell r="D59">
            <v>4.1938000000000004</v>
          </cell>
          <cell r="E59">
            <v>55.485300000000002</v>
          </cell>
        </row>
        <row r="60">
          <cell r="A60" t="str">
            <v>E204</v>
          </cell>
          <cell r="B60" t="str">
            <v xml:space="preserve">Martelete: RH658-6L - perfuratriz manual  </v>
          </cell>
          <cell r="C60" t="str">
            <v xml:space="preserve"> Não utiliza energia</v>
          </cell>
          <cell r="D60">
            <v>3.7277999999999998</v>
          </cell>
          <cell r="E60">
            <v>4.5633999999999997</v>
          </cell>
        </row>
        <row r="61">
          <cell r="A61" t="str">
            <v>E205</v>
          </cell>
          <cell r="B61" t="str">
            <v xml:space="preserve">Perfuratriz sobre Esteiras: ROC 442PC - Crawler Drill  </v>
          </cell>
          <cell r="C61" t="str">
            <v xml:space="preserve"> Não utiliza energia</v>
          </cell>
          <cell r="D61">
            <v>4.1938000000000004</v>
          </cell>
          <cell r="E61">
            <v>31.947099999999999</v>
          </cell>
        </row>
        <row r="62">
          <cell r="A62" t="str">
            <v>E206</v>
          </cell>
          <cell r="B62" t="str">
            <v xml:space="preserve">Conjunto de Britagem: L-150A - 30 m3/h  </v>
          </cell>
          <cell r="C62" t="str">
            <v xml:space="preserve"> Elétrico</v>
          </cell>
          <cell r="D62">
            <v>5.7469999999999999</v>
          </cell>
          <cell r="E62">
            <v>67.889799999999994</v>
          </cell>
        </row>
        <row r="63">
          <cell r="A63" t="str">
            <v>E207</v>
          </cell>
          <cell r="B63" t="str">
            <v xml:space="preserve">Conjunto de Britagem: c-130 - 9 a 20 m3/h  </v>
          </cell>
          <cell r="C63" t="str">
            <v xml:space="preserve"> Elétrico</v>
          </cell>
          <cell r="D63">
            <v>5.7469999999999999</v>
          </cell>
          <cell r="E63">
            <v>19.775700000000001</v>
          </cell>
        </row>
        <row r="64">
          <cell r="A64" t="str">
            <v>E208</v>
          </cell>
          <cell r="B64" t="str">
            <v xml:space="preserve">Compressor de Ar: XA90PD - 180 PCM  </v>
          </cell>
          <cell r="C64" t="str">
            <v xml:space="preserve"> Diesel</v>
          </cell>
          <cell r="D64">
            <v>4.1938000000000004</v>
          </cell>
          <cell r="E64">
            <v>19.863900000000001</v>
          </cell>
        </row>
        <row r="65">
          <cell r="A65" t="str">
            <v>E209</v>
          </cell>
          <cell r="B65" t="str">
            <v xml:space="preserve">Martelete: TEX28 - rompedor  28 kg  </v>
          </cell>
          <cell r="C65" t="str">
            <v xml:space="preserve"> Não utiliza energia</v>
          </cell>
          <cell r="D65">
            <v>3.7277999999999998</v>
          </cell>
          <cell r="E65">
            <v>4.2933000000000003</v>
          </cell>
        </row>
        <row r="66">
          <cell r="A66" t="str">
            <v>E210</v>
          </cell>
          <cell r="B66" t="str">
            <v xml:space="preserve">Martelete: TEX33 - rompedor  33 kg  </v>
          </cell>
          <cell r="C66" t="str">
            <v xml:space="preserve"> Não utiliza energia</v>
          </cell>
          <cell r="D66">
            <v>3.7277999999999998</v>
          </cell>
          <cell r="E66">
            <v>4.2347999999999999</v>
          </cell>
        </row>
        <row r="67">
          <cell r="A67" t="str">
            <v>E211</v>
          </cell>
          <cell r="B67" t="str">
            <v xml:space="preserve">Máquina para Pintura: compres. de ar p/ pintura c/ filtro  </v>
          </cell>
          <cell r="C67" t="str">
            <v xml:space="preserve"> Elétrico</v>
          </cell>
          <cell r="D67">
            <v>0</v>
          </cell>
          <cell r="E67">
            <v>0.24829999999999999</v>
          </cell>
        </row>
        <row r="68">
          <cell r="A68" t="str">
            <v>E223</v>
          </cell>
          <cell r="B68" t="str">
            <v xml:space="preserve">Compressor de Ar: portátil 375 PCM  </v>
          </cell>
          <cell r="C68" t="str">
            <v xml:space="preserve"> Diesel</v>
          </cell>
          <cell r="D68">
            <v>4.1938000000000004</v>
          </cell>
          <cell r="E68">
            <v>36.3354</v>
          </cell>
        </row>
        <row r="69">
          <cell r="A69" t="str">
            <v>E225</v>
          </cell>
          <cell r="B69" t="str">
            <v xml:space="preserve">Conjunto de Britagem: 80 m3/h  </v>
          </cell>
          <cell r="C69" t="str">
            <v xml:space="preserve"> Elétrico</v>
          </cell>
          <cell r="D69">
            <v>5.7469999999999999</v>
          </cell>
          <cell r="E69">
            <v>123.60420000000001</v>
          </cell>
        </row>
        <row r="70">
          <cell r="A70" t="str">
            <v>E226</v>
          </cell>
          <cell r="B70" t="str">
            <v xml:space="preserve">Conjunto de Britagem - p/ rachão: 80 m3/h   p/ produção de rachão  </v>
          </cell>
          <cell r="C70" t="str">
            <v xml:space="preserve"> Elétrico</v>
          </cell>
          <cell r="D70">
            <v>5.7469999999999999</v>
          </cell>
          <cell r="E70">
            <v>36.0685</v>
          </cell>
        </row>
        <row r="71">
          <cell r="A71" t="str">
            <v>E301</v>
          </cell>
          <cell r="B71" t="str">
            <v xml:space="preserve">Betoneira: 320 l  </v>
          </cell>
          <cell r="C71" t="str">
            <v xml:space="preserve"> Diesel</v>
          </cell>
          <cell r="D71">
            <v>4.1938000000000004</v>
          </cell>
          <cell r="E71">
            <v>6.3403</v>
          </cell>
        </row>
        <row r="72">
          <cell r="A72" t="str">
            <v>E302</v>
          </cell>
          <cell r="B72" t="str">
            <v xml:space="preserve">Betoneira: 320 l  </v>
          </cell>
          <cell r="C72" t="str">
            <v xml:space="preserve"> Elétrico</v>
          </cell>
          <cell r="D72">
            <v>4.1938000000000004</v>
          </cell>
          <cell r="E72">
            <v>4.3377999999999997</v>
          </cell>
        </row>
        <row r="73">
          <cell r="A73" t="str">
            <v>E303</v>
          </cell>
          <cell r="B73" t="str">
            <v xml:space="preserve">Betoneira: 750 l  </v>
          </cell>
          <cell r="C73" t="str">
            <v xml:space="preserve"> Elétrico</v>
          </cell>
          <cell r="D73">
            <v>4.1938000000000004</v>
          </cell>
          <cell r="E73">
            <v>6.1938000000000004</v>
          </cell>
        </row>
        <row r="74">
          <cell r="A74" t="str">
            <v>E304</v>
          </cell>
          <cell r="B74" t="str">
            <v xml:space="preserve">Transportador Manual: carrinho de mão 80 l  </v>
          </cell>
          <cell r="C74" t="str">
            <v xml:space="preserve"> Não utiliza energia</v>
          </cell>
          <cell r="D74">
            <v>0</v>
          </cell>
          <cell r="E74">
            <v>4.7699999999999999E-2</v>
          </cell>
        </row>
        <row r="75">
          <cell r="A75" t="str">
            <v>E305</v>
          </cell>
          <cell r="B75" t="str">
            <v xml:space="preserve">Transportador Manual: A-15 - gerica 180 l  </v>
          </cell>
          <cell r="C75" t="str">
            <v xml:space="preserve"> Não utiliza energia</v>
          </cell>
          <cell r="D75">
            <v>0</v>
          </cell>
          <cell r="E75">
            <v>0.12609999999999999</v>
          </cell>
        </row>
        <row r="76">
          <cell r="A76" t="str">
            <v>E306</v>
          </cell>
          <cell r="B76" t="str">
            <v xml:space="preserve">Vibrador de Concreto: VIP45/MT2 - de imersão  </v>
          </cell>
          <cell r="C76" t="str">
            <v xml:space="preserve"> Elétrico</v>
          </cell>
          <cell r="D76">
            <v>3.7277999999999998</v>
          </cell>
          <cell r="E76">
            <v>3.9548000000000001</v>
          </cell>
        </row>
        <row r="77">
          <cell r="A77" t="str">
            <v>E307</v>
          </cell>
          <cell r="B77" t="str">
            <v xml:space="preserve">Fábric. Pré-Moldado Concreto: tubos   D=0,2 m   M / F  </v>
          </cell>
          <cell r="C77" t="str">
            <v xml:space="preserve"> Elétrico</v>
          </cell>
          <cell r="D77">
            <v>0</v>
          </cell>
          <cell r="E77">
            <v>1.3293999999999999</v>
          </cell>
        </row>
        <row r="78">
          <cell r="A78" t="str">
            <v>E308</v>
          </cell>
          <cell r="B78" t="str">
            <v xml:space="preserve">Fábric. Pré-Moldado Concreto: tubos   D=0,3 m   M / F  </v>
          </cell>
          <cell r="C78" t="str">
            <v xml:space="preserve"> Elétrico</v>
          </cell>
          <cell r="D78">
            <v>0</v>
          </cell>
          <cell r="E78">
            <v>1.3771</v>
          </cell>
        </row>
        <row r="79">
          <cell r="A79" t="str">
            <v>E309</v>
          </cell>
          <cell r="B79" t="str">
            <v xml:space="preserve">Fábric. Pré-Moldado Concreto: tubos   D=0,4 m   M / F  </v>
          </cell>
          <cell r="C79" t="str">
            <v xml:space="preserve"> Elétrico</v>
          </cell>
          <cell r="D79">
            <v>0</v>
          </cell>
          <cell r="E79">
            <v>1.4869000000000001</v>
          </cell>
        </row>
        <row r="80">
          <cell r="A80" t="str">
            <v>E310</v>
          </cell>
          <cell r="B80" t="str">
            <v xml:space="preserve">Fábric. Pré-Moldado Concreto: tubos   D=0,6 m   M / F  </v>
          </cell>
          <cell r="C80" t="str">
            <v xml:space="preserve"> Elétrico</v>
          </cell>
          <cell r="D80">
            <v>0</v>
          </cell>
          <cell r="E80">
            <v>1.9801</v>
          </cell>
        </row>
        <row r="81">
          <cell r="A81" t="str">
            <v>E311</v>
          </cell>
          <cell r="B81" t="str">
            <v xml:space="preserve">Fábric. Pré-Moldado Concreto: tubos   D=0,8 m   M / F  </v>
          </cell>
          <cell r="C81" t="str">
            <v xml:space="preserve"> Elétrico</v>
          </cell>
          <cell r="D81">
            <v>0</v>
          </cell>
          <cell r="E81">
            <v>1.9222999999999999</v>
          </cell>
        </row>
        <row r="82">
          <cell r="A82" t="str">
            <v>E312</v>
          </cell>
          <cell r="B82" t="str">
            <v xml:space="preserve">Fábric. Pré-Moldado Concreto: tubos   D=1,0 m   M / F  </v>
          </cell>
          <cell r="C82" t="str">
            <v xml:space="preserve"> Elétrico</v>
          </cell>
          <cell r="D82">
            <v>0</v>
          </cell>
          <cell r="E82">
            <v>2.1139999999999999</v>
          </cell>
        </row>
        <row r="83">
          <cell r="A83" t="str">
            <v>E313</v>
          </cell>
          <cell r="B83" t="str">
            <v xml:space="preserve">Fábric. Pré-Moldado Concreto: tubos   D=1,2 m   M / F  </v>
          </cell>
          <cell r="C83" t="str">
            <v xml:space="preserve"> Elétrico</v>
          </cell>
          <cell r="D83">
            <v>0</v>
          </cell>
          <cell r="E83">
            <v>2.1522999999999999</v>
          </cell>
        </row>
        <row r="84">
          <cell r="A84" t="str">
            <v>E314</v>
          </cell>
          <cell r="B84" t="str">
            <v xml:space="preserve">Fábric. Pré-Moldado Concreto: tubos   D=1,5 m   M / F  </v>
          </cell>
          <cell r="C84" t="str">
            <v xml:space="preserve"> Elétrico</v>
          </cell>
          <cell r="D84">
            <v>0</v>
          </cell>
          <cell r="E84">
            <v>2.1879</v>
          </cell>
        </row>
        <row r="85">
          <cell r="A85" t="str">
            <v>E315</v>
          </cell>
          <cell r="B85" t="str">
            <v xml:space="preserve">Betoneira: 500 l  </v>
          </cell>
          <cell r="C85" t="str">
            <v xml:space="preserve"> Diesel</v>
          </cell>
          <cell r="D85">
            <v>4.1938000000000004</v>
          </cell>
          <cell r="E85">
            <v>7.1970000000000001</v>
          </cell>
        </row>
        <row r="86">
          <cell r="A86" t="str">
            <v>E316</v>
          </cell>
          <cell r="B86" t="str">
            <v xml:space="preserve">Fábric. Pré-Moldado Concreto: inst. compl. -  mourão  </v>
          </cell>
          <cell r="C86" t="str">
            <v xml:space="preserve"> Elétrico</v>
          </cell>
          <cell r="D86">
            <v>0</v>
          </cell>
          <cell r="E86">
            <v>0.58079999999999998</v>
          </cell>
        </row>
        <row r="87">
          <cell r="A87" t="str">
            <v>E317</v>
          </cell>
          <cell r="B87" t="str">
            <v xml:space="preserve">Fábric. Pré-Moldado Concreto: inst. compl. -  balizador  </v>
          </cell>
          <cell r="C87" t="str">
            <v xml:space="preserve"> Elétrico</v>
          </cell>
          <cell r="D87">
            <v>0</v>
          </cell>
          <cell r="E87">
            <v>0.61099999999999999</v>
          </cell>
        </row>
        <row r="88">
          <cell r="A88" t="str">
            <v>E318</v>
          </cell>
          <cell r="B88" t="str">
            <v xml:space="preserve">Fábric. Pré-Moldado Concreto: inst. compl. - guarda-corpo  </v>
          </cell>
          <cell r="C88" t="str">
            <v xml:space="preserve"> Elétrico</v>
          </cell>
          <cell r="D88">
            <v>0</v>
          </cell>
          <cell r="E88">
            <v>0.81599999999999995</v>
          </cell>
        </row>
        <row r="89">
          <cell r="A89" t="str">
            <v>E323</v>
          </cell>
          <cell r="B89" t="str">
            <v xml:space="preserve">Central de Concreto: 30m3/h - dosadora  </v>
          </cell>
          <cell r="C89" t="str">
            <v xml:space="preserve"> Elétrico</v>
          </cell>
          <cell r="D89">
            <v>5.7469999999999999</v>
          </cell>
          <cell r="E89">
            <v>11.347</v>
          </cell>
        </row>
        <row r="90">
          <cell r="A90" t="str">
            <v>E330</v>
          </cell>
          <cell r="B90" t="str">
            <v xml:space="preserve">Espalhadora de concreto: PS 2600 -   </v>
          </cell>
          <cell r="C90" t="str">
            <v xml:space="preserve"> Diesel</v>
          </cell>
          <cell r="D90">
            <v>5.7469999999999999</v>
          </cell>
          <cell r="E90">
            <v>182.9436</v>
          </cell>
        </row>
        <row r="91">
          <cell r="A91" t="str">
            <v>E331</v>
          </cell>
          <cell r="B91" t="str">
            <v xml:space="preserve">Acabadora de concreto: GP 2600 - com forma deslizante  </v>
          </cell>
          <cell r="C91" t="str">
            <v xml:space="preserve"> Diesel</v>
          </cell>
          <cell r="D91">
            <v>5.7469999999999999</v>
          </cell>
          <cell r="E91">
            <v>212.422</v>
          </cell>
        </row>
        <row r="92">
          <cell r="A92" t="str">
            <v>E332</v>
          </cell>
          <cell r="B92" t="str">
            <v xml:space="preserve">Texturizadora e Lançadora: TC 400 - com estação meteorológica  </v>
          </cell>
          <cell r="C92" t="str">
            <v xml:space="preserve"> Diesel</v>
          </cell>
          <cell r="D92">
            <v>3.7277999999999998</v>
          </cell>
          <cell r="E92">
            <v>58.248699999999999</v>
          </cell>
        </row>
        <row r="93">
          <cell r="A93" t="str">
            <v>E333</v>
          </cell>
          <cell r="B93" t="str">
            <v xml:space="preserve">Serra de Disco Diamantado: PRO-65 - para concreto  </v>
          </cell>
          <cell r="C93" t="str">
            <v xml:space="preserve"> Gasolina</v>
          </cell>
          <cell r="D93">
            <v>3.7277999999999998</v>
          </cell>
          <cell r="E93">
            <v>37.576799999999999</v>
          </cell>
        </row>
        <row r="94">
          <cell r="A94" t="str">
            <v>E334</v>
          </cell>
          <cell r="B94" t="str">
            <v xml:space="preserve">Seladora de Juntas: EZ100 -   </v>
          </cell>
          <cell r="C94" t="str">
            <v xml:space="preserve"> Gasolina</v>
          </cell>
          <cell r="D94">
            <v>3.7277999999999998</v>
          </cell>
          <cell r="E94">
            <v>19.320599999999999</v>
          </cell>
        </row>
        <row r="95">
          <cell r="A95" t="str">
            <v>E335</v>
          </cell>
          <cell r="B95" t="str">
            <v xml:space="preserve">Central de Concreto: MG11C - 270m3 / h - dosadora e misturadora.  </v>
          </cell>
          <cell r="C95" t="str">
            <v xml:space="preserve"> Elétrico</v>
          </cell>
          <cell r="D95">
            <v>5.7469999999999999</v>
          </cell>
          <cell r="E95">
            <v>123.1434</v>
          </cell>
        </row>
        <row r="96">
          <cell r="A96" t="str">
            <v>E337</v>
          </cell>
          <cell r="B96" t="str">
            <v xml:space="preserve">Régua vibratória: CRV 4 - 4,25m  </v>
          </cell>
          <cell r="C96" t="str">
            <v xml:space="preserve"> Elétrico</v>
          </cell>
          <cell r="D96">
            <v>3.7277999999999998</v>
          </cell>
          <cell r="E96">
            <v>5.7130000000000001</v>
          </cell>
        </row>
        <row r="97">
          <cell r="A97" t="str">
            <v>E338</v>
          </cell>
          <cell r="B97" t="str">
            <v xml:space="preserve">Serra de Juntas: C-844 - para concreto  </v>
          </cell>
          <cell r="C97" t="str">
            <v xml:space="preserve"> Elétrico</v>
          </cell>
          <cell r="D97">
            <v>3.7277999999999998</v>
          </cell>
          <cell r="E97">
            <v>4.3326000000000002</v>
          </cell>
        </row>
        <row r="98">
          <cell r="A98" t="str">
            <v>E339</v>
          </cell>
          <cell r="B98" t="str">
            <v xml:space="preserve">Fábric. Pré-Moldado Concreto: placas p/ pavimento  </v>
          </cell>
          <cell r="C98" t="str">
            <v xml:space="preserve"> Elétrico</v>
          </cell>
          <cell r="D98">
            <v>0</v>
          </cell>
          <cell r="E98">
            <v>1.2596000000000001</v>
          </cell>
        </row>
        <row r="99">
          <cell r="A99" t="str">
            <v>E340</v>
          </cell>
          <cell r="B99" t="str">
            <v xml:space="preserve">Jateadora de Areia: KI-2460 - pressurizado  </v>
          </cell>
          <cell r="C99" t="str">
            <v xml:space="preserve"> Não utiliza energia</v>
          </cell>
          <cell r="D99">
            <v>3.7277999999999998</v>
          </cell>
          <cell r="E99">
            <v>4.8484999999999996</v>
          </cell>
        </row>
        <row r="100">
          <cell r="A100" t="str">
            <v>E400</v>
          </cell>
          <cell r="B100" t="str">
            <v xml:space="preserve">Caminhão Basculante: 1418R - 5 m3 - 8,8 t  </v>
          </cell>
          <cell r="C100" t="str">
            <v xml:space="preserve"> Diesel</v>
          </cell>
          <cell r="D100">
            <v>4.9703999999999997</v>
          </cell>
          <cell r="E100">
            <v>34.086500000000001</v>
          </cell>
        </row>
        <row r="101">
          <cell r="A101" t="str">
            <v>E402</v>
          </cell>
          <cell r="B101" t="str">
            <v xml:space="preserve">Caminhão Carroceria: L2318/51 - de madeira 15 t  </v>
          </cell>
          <cell r="C101" t="str">
            <v xml:space="preserve"> Diesel</v>
          </cell>
          <cell r="D101">
            <v>4.9703999999999997</v>
          </cell>
          <cell r="E101">
            <v>37.622100000000003</v>
          </cell>
        </row>
        <row r="102">
          <cell r="A102" t="str">
            <v>E403</v>
          </cell>
          <cell r="B102" t="str">
            <v xml:space="preserve">Caminhão Basculante: LK 1620 - 6 m3 - 10,5 t  </v>
          </cell>
          <cell r="C102" t="str">
            <v xml:space="preserve"> Diesel</v>
          </cell>
          <cell r="D102">
            <v>4.9703999999999997</v>
          </cell>
          <cell r="E102">
            <v>39.272100000000002</v>
          </cell>
        </row>
        <row r="103">
          <cell r="A103" t="str">
            <v>E404</v>
          </cell>
          <cell r="B103" t="str">
            <v xml:space="preserve">Caminhão Basculante: LK 2318 - 10 m3 - 15 t  </v>
          </cell>
          <cell r="C103" t="str">
            <v xml:space="preserve"> Diesel</v>
          </cell>
          <cell r="D103">
            <v>4.9703999999999997</v>
          </cell>
          <cell r="E103">
            <v>39.351799999999997</v>
          </cell>
        </row>
        <row r="104">
          <cell r="A104" t="str">
            <v>E405</v>
          </cell>
          <cell r="B104" t="str">
            <v xml:space="preserve">Caminhão Basculante: LK2318 - p/ rocha 8 m3 - 13 t  </v>
          </cell>
          <cell r="C104" t="str">
            <v xml:space="preserve"> Diesel</v>
          </cell>
          <cell r="D104">
            <v>4.9703999999999997</v>
          </cell>
          <cell r="E104">
            <v>40.878900000000002</v>
          </cell>
        </row>
        <row r="105">
          <cell r="A105" t="str">
            <v>E406</v>
          </cell>
          <cell r="B105" t="str">
            <v xml:space="preserve">Caminhão Tanque: L1620/51 - 6.000 l  </v>
          </cell>
          <cell r="C105" t="str">
            <v xml:space="preserve"> Diesel</v>
          </cell>
          <cell r="D105">
            <v>4.9703999999999997</v>
          </cell>
          <cell r="E105">
            <v>36.354900000000001</v>
          </cell>
        </row>
        <row r="106">
          <cell r="A106" t="str">
            <v>E407</v>
          </cell>
          <cell r="B106" t="str">
            <v xml:space="preserve">Caminhão Tanque: L2318/51 - 10.000 l  </v>
          </cell>
          <cell r="C106" t="str">
            <v xml:space="preserve"> Diesel</v>
          </cell>
          <cell r="D106">
            <v>4.9703999999999997</v>
          </cell>
          <cell r="E106">
            <v>38.028799999999997</v>
          </cell>
        </row>
        <row r="107">
          <cell r="A107" t="str">
            <v>E408</v>
          </cell>
          <cell r="B107" t="str">
            <v xml:space="preserve">Caminhão Carroceria: 710 / 37 - fixa 4 t  </v>
          </cell>
          <cell r="C107" t="str">
            <v xml:space="preserve"> Diesel</v>
          </cell>
          <cell r="D107">
            <v>4.9703999999999997</v>
          </cell>
          <cell r="E107">
            <v>21.9148</v>
          </cell>
        </row>
        <row r="108">
          <cell r="A108" t="str">
            <v>E409</v>
          </cell>
          <cell r="B108" t="str">
            <v xml:space="preserve">Caminhão Carroceria: L1620/51 - fixa 9 t  </v>
          </cell>
          <cell r="C108" t="str">
            <v xml:space="preserve"> Diesel</v>
          </cell>
          <cell r="D108">
            <v>4.9703999999999997</v>
          </cell>
          <cell r="E108">
            <v>35.988799999999998</v>
          </cell>
        </row>
        <row r="109">
          <cell r="A109" t="str">
            <v>E410</v>
          </cell>
          <cell r="B109" t="str">
            <v xml:space="preserve">Caminhão Basculante: 1214K - 4 m3 - 7,1 t  </v>
          </cell>
          <cell r="C109" t="str">
            <v xml:space="preserve"> Diesel</v>
          </cell>
          <cell r="D109">
            <v>4.9703999999999997</v>
          </cell>
          <cell r="E109">
            <v>29.4145</v>
          </cell>
        </row>
        <row r="110">
          <cell r="A110" t="str">
            <v>E411</v>
          </cell>
          <cell r="B110" t="str">
            <v xml:space="preserve">Cavalo Mecânico com Reboque: LS1632/45 - 29,5 t  </v>
          </cell>
          <cell r="C110" t="str">
            <v xml:space="preserve"> Diesel</v>
          </cell>
          <cell r="D110">
            <v>5.2809999999999997</v>
          </cell>
          <cell r="E110">
            <v>53.461799999999997</v>
          </cell>
        </row>
        <row r="111">
          <cell r="A111" t="str">
            <v>E412</v>
          </cell>
          <cell r="B111" t="str">
            <v xml:space="preserve">Veículo Leve: GOL 1000 - automóvel até 100 hp  </v>
          </cell>
          <cell r="C111" t="str">
            <v xml:space="preserve"> Gasolina</v>
          </cell>
          <cell r="D111">
            <v>4.5044000000000004</v>
          </cell>
          <cell r="E111">
            <v>16.7941</v>
          </cell>
        </row>
        <row r="112">
          <cell r="A112" t="str">
            <v>E416</v>
          </cell>
          <cell r="B112" t="str">
            <v xml:space="preserve">Veículo Leve: pick up Silverado  </v>
          </cell>
          <cell r="C112" t="str">
            <v xml:space="preserve"> Diesel</v>
          </cell>
          <cell r="D112">
            <v>4.5044000000000004</v>
          </cell>
          <cell r="E112">
            <v>18.8369</v>
          </cell>
        </row>
        <row r="113">
          <cell r="A113" t="str">
            <v>E421</v>
          </cell>
          <cell r="B113" t="str">
            <v xml:space="preserve">Caminhão Tanque: L2318/51 - 13.000 l  </v>
          </cell>
          <cell r="C113" t="str">
            <v xml:space="preserve"> Diesel</v>
          </cell>
          <cell r="D113">
            <v>4.9703999999999997</v>
          </cell>
          <cell r="E113">
            <v>38.420999999999999</v>
          </cell>
        </row>
        <row r="114">
          <cell r="A114" t="str">
            <v>E422</v>
          </cell>
          <cell r="B114" t="str">
            <v xml:space="preserve">Caminhão Tanque: L1620/51 - 8.000 l  </v>
          </cell>
          <cell r="C114" t="str">
            <v xml:space="preserve"> Diesel</v>
          </cell>
          <cell r="D114">
            <v>4.9703999999999997</v>
          </cell>
          <cell r="E114">
            <v>36.441899999999997</v>
          </cell>
        </row>
        <row r="115">
          <cell r="A115" t="str">
            <v>E427</v>
          </cell>
          <cell r="B115" t="str">
            <v xml:space="preserve">Caminhão Betoneira: 16-220 - 11,5 t   5m3  </v>
          </cell>
          <cell r="C115" t="str">
            <v xml:space="preserve"> Diesel</v>
          </cell>
          <cell r="D115">
            <v>4.9703999999999997</v>
          </cell>
          <cell r="E115">
            <v>44.1663</v>
          </cell>
        </row>
        <row r="116">
          <cell r="A116" t="str">
            <v>E432</v>
          </cell>
          <cell r="B116" t="str">
            <v xml:space="preserve">Caminhão Basculante: NL-10-320  6x4 - 20 t  </v>
          </cell>
          <cell r="C116" t="str">
            <v xml:space="preserve"> Diesel</v>
          </cell>
          <cell r="D116">
            <v>4.9703999999999997</v>
          </cell>
          <cell r="E116">
            <v>53.091999999999999</v>
          </cell>
        </row>
        <row r="117">
          <cell r="A117" t="str">
            <v>E433</v>
          </cell>
          <cell r="B117" t="str">
            <v xml:space="preserve">Caminhão Basculante: NL-10-320  6x4 - para rocha  18 t  </v>
          </cell>
          <cell r="C117" t="str">
            <v xml:space="preserve"> Diesel</v>
          </cell>
          <cell r="D117">
            <v>4.9703999999999997</v>
          </cell>
          <cell r="E117">
            <v>54.608899999999998</v>
          </cell>
        </row>
        <row r="118">
          <cell r="A118" t="str">
            <v>E434</v>
          </cell>
          <cell r="B118" t="str">
            <v xml:space="preserve">Caminhão Carroceria: L 1620/51 - c/ guindauto   6 t x m  </v>
          </cell>
          <cell r="C118" t="str">
            <v xml:space="preserve"> Diesel</v>
          </cell>
          <cell r="D118">
            <v>4.9703999999999997</v>
          </cell>
          <cell r="E118">
            <v>38.572800000000001</v>
          </cell>
        </row>
        <row r="119">
          <cell r="A119" t="str">
            <v>E435</v>
          </cell>
          <cell r="B119" t="str">
            <v xml:space="preserve">Caminhão Basculante: LK-1620/51 - p/ rocha   5m3    8 t  </v>
          </cell>
          <cell r="C119" t="str">
            <v xml:space="preserve"> Diesel</v>
          </cell>
          <cell r="D119">
            <v>4.9703999999999997</v>
          </cell>
          <cell r="E119">
            <v>40.184899999999999</v>
          </cell>
        </row>
        <row r="120">
          <cell r="A120" t="str">
            <v>E501</v>
          </cell>
          <cell r="B120" t="str">
            <v xml:space="preserve">Grupo Gerador: GEHMB-44 - 40 / 44 KVA  </v>
          </cell>
          <cell r="C120" t="str">
            <v xml:space="preserve"> Diesel</v>
          </cell>
          <cell r="D120">
            <v>4.1938000000000004</v>
          </cell>
          <cell r="E120">
            <v>13.5405</v>
          </cell>
        </row>
        <row r="121">
          <cell r="A121" t="str">
            <v>E502</v>
          </cell>
          <cell r="B121" t="str">
            <v xml:space="preserve">Grupo Gerador: GEHM-150 - 139 / 150 KVA  </v>
          </cell>
          <cell r="C121" t="str">
            <v xml:space="preserve"> Diesel</v>
          </cell>
          <cell r="D121">
            <v>4.1938000000000004</v>
          </cell>
          <cell r="E121">
            <v>32.253900000000002</v>
          </cell>
        </row>
        <row r="122">
          <cell r="A122" t="str">
            <v>E503</v>
          </cell>
          <cell r="B122" t="str">
            <v xml:space="preserve">Grupo Gerador: GEHM-180 - 165 / 180 KVA  </v>
          </cell>
          <cell r="C122" t="str">
            <v xml:space="preserve"> Diesel</v>
          </cell>
          <cell r="D122">
            <v>4.1938000000000004</v>
          </cell>
          <cell r="E122">
            <v>37.573700000000002</v>
          </cell>
        </row>
        <row r="123">
          <cell r="A123" t="str">
            <v>E504</v>
          </cell>
          <cell r="B123" t="str">
            <v xml:space="preserve">Grupo Gerador: GEHV-285 - 262 / 290 KVA  </v>
          </cell>
          <cell r="C123" t="str">
            <v xml:space="preserve"> Diesel</v>
          </cell>
          <cell r="D123">
            <v>4.1938000000000004</v>
          </cell>
          <cell r="E123">
            <v>60.707599999999999</v>
          </cell>
        </row>
        <row r="124">
          <cell r="A124" t="str">
            <v>E505</v>
          </cell>
          <cell r="B124" t="str">
            <v xml:space="preserve">Grupo Gerador: GEHY-10 - 9 / 10 KVA  </v>
          </cell>
          <cell r="C124" t="str">
            <v xml:space="preserve"> Diesel</v>
          </cell>
          <cell r="D124">
            <v>4.1938000000000004</v>
          </cell>
          <cell r="E124">
            <v>7.2183000000000002</v>
          </cell>
        </row>
        <row r="125">
          <cell r="A125" t="str">
            <v>E507</v>
          </cell>
          <cell r="B125" t="str">
            <v xml:space="preserve">Grupo Gerador: GEHP-110 - 86 / 95 KVA  </v>
          </cell>
          <cell r="C125" t="str">
            <v xml:space="preserve"> Diesel</v>
          </cell>
          <cell r="D125">
            <v>4.1938000000000004</v>
          </cell>
          <cell r="E125">
            <v>25.650099999999998</v>
          </cell>
        </row>
        <row r="126">
          <cell r="A126" t="str">
            <v>E508</v>
          </cell>
          <cell r="B126" t="str">
            <v xml:space="preserve">Grupo Gerador: GEHY-3 - 2,5 / 3,0 KVA  </v>
          </cell>
          <cell r="C126" t="str">
            <v xml:space="preserve"> Diesel</v>
          </cell>
          <cell r="D126">
            <v>4.1938000000000004</v>
          </cell>
          <cell r="E126">
            <v>4.8719999999999999</v>
          </cell>
        </row>
        <row r="127">
          <cell r="A127" t="str">
            <v>E509</v>
          </cell>
          <cell r="B127" t="str">
            <v xml:space="preserve">Grupo Gerador: 25,0 KVA  </v>
          </cell>
          <cell r="C127" t="str">
            <v xml:space="preserve"> Diesel</v>
          </cell>
          <cell r="D127">
            <v>4.1938000000000004</v>
          </cell>
          <cell r="E127">
            <v>9.5383999999999993</v>
          </cell>
        </row>
        <row r="128">
          <cell r="A128" t="str">
            <v>E601</v>
          </cell>
          <cell r="B128" t="str">
            <v xml:space="preserve">Roçadeira: em trator de pneus  </v>
          </cell>
          <cell r="C128" t="str">
            <v xml:space="preserve"> Diesel</v>
          </cell>
          <cell r="D128">
            <v>4.1938000000000004</v>
          </cell>
          <cell r="E128">
            <v>27.7225</v>
          </cell>
        </row>
        <row r="129">
          <cell r="A129" t="str">
            <v>E602</v>
          </cell>
          <cell r="B129" t="str">
            <v xml:space="preserve">Roçadeira: XTA-TC145 - em micro trator  </v>
          </cell>
          <cell r="C129" t="str">
            <v xml:space="preserve"> Diesel</v>
          </cell>
          <cell r="D129">
            <v>4.1938000000000004</v>
          </cell>
          <cell r="E129">
            <v>8.9770000000000003</v>
          </cell>
        </row>
        <row r="130">
          <cell r="A130" t="str">
            <v>E603</v>
          </cell>
          <cell r="B130" t="str">
            <v xml:space="preserve">Roçadeira: FR-108 - mecânica (costal)  </v>
          </cell>
          <cell r="C130" t="str">
            <v xml:space="preserve"> Diesel</v>
          </cell>
          <cell r="D130">
            <v>3.7277999999999998</v>
          </cell>
          <cell r="E130">
            <v>6.5384000000000002</v>
          </cell>
        </row>
        <row r="131">
          <cell r="A131" t="str">
            <v>E901</v>
          </cell>
          <cell r="B131" t="str">
            <v xml:space="preserve">Campânula de Ar Comprimido: 3 m3  </v>
          </cell>
          <cell r="C131" t="str">
            <v xml:space="preserve"> Não utiliza energia</v>
          </cell>
          <cell r="D131">
            <v>0</v>
          </cell>
          <cell r="E131">
            <v>2.6981000000000002</v>
          </cell>
        </row>
        <row r="132">
          <cell r="A132" t="str">
            <v>E902</v>
          </cell>
          <cell r="B132" t="str">
            <v xml:space="preserve">Bate-Estacas: IM-750-PM - de gravidade 500 kg  </v>
          </cell>
          <cell r="C132" t="str">
            <v xml:space="preserve"> Diesel</v>
          </cell>
          <cell r="D132">
            <v>4.1938000000000004</v>
          </cell>
          <cell r="E132">
            <v>9.5035000000000007</v>
          </cell>
        </row>
        <row r="133">
          <cell r="A133" t="str">
            <v>E903</v>
          </cell>
          <cell r="B133" t="str">
            <v xml:space="preserve">Bate-Estacas: IM-1320-BS - de gravidade 3.000 kg  </v>
          </cell>
          <cell r="C133" t="str">
            <v xml:space="preserve"> Diesel</v>
          </cell>
          <cell r="D133">
            <v>4.1938000000000004</v>
          </cell>
          <cell r="E133">
            <v>51.347499999999997</v>
          </cell>
        </row>
        <row r="134">
          <cell r="A134" t="str">
            <v>E904</v>
          </cell>
          <cell r="B134" t="str">
            <v xml:space="preserve">Máquina de Bancada: serra circular de 12"  </v>
          </cell>
          <cell r="C134" t="str">
            <v xml:space="preserve"> Elétrico</v>
          </cell>
          <cell r="D134">
            <v>0</v>
          </cell>
          <cell r="E134">
            <v>0.12239999999999999</v>
          </cell>
        </row>
        <row r="135">
          <cell r="A135" t="str">
            <v>E905</v>
          </cell>
          <cell r="B135" t="str">
            <v xml:space="preserve">Máquina Manual: TU-40 - talha guincho para 4 t  </v>
          </cell>
          <cell r="C135" t="str">
            <v xml:space="preserve"> Não utiliza energia</v>
          </cell>
          <cell r="D135">
            <v>0</v>
          </cell>
          <cell r="E135">
            <v>0.27229999999999999</v>
          </cell>
        </row>
        <row r="136">
          <cell r="A136" t="str">
            <v>E906</v>
          </cell>
          <cell r="B136" t="str">
            <v xml:space="preserve">Compactador Manual: ES600 - soquete vibratório  </v>
          </cell>
          <cell r="C136" t="str">
            <v xml:space="preserve"> Gasolina</v>
          </cell>
          <cell r="D136">
            <v>3.7277999999999998</v>
          </cell>
          <cell r="E136">
            <v>6.2308000000000003</v>
          </cell>
        </row>
        <row r="137">
          <cell r="A137" t="str">
            <v>E907</v>
          </cell>
          <cell r="B137" t="str">
            <v xml:space="preserve">Conjunto Moto-Bomba: 180-SH-75 - com motor  </v>
          </cell>
          <cell r="C137" t="str">
            <v xml:space="preserve"> Gasolina</v>
          </cell>
          <cell r="D137">
            <v>0</v>
          </cell>
          <cell r="E137">
            <v>7.2904999999999998</v>
          </cell>
        </row>
        <row r="138">
          <cell r="A138" t="str">
            <v>E908</v>
          </cell>
          <cell r="B138" t="str">
            <v xml:space="preserve">Máquina para Pintura: 44 - demarcação de faixas autoprop.  </v>
          </cell>
          <cell r="C138" t="str">
            <v xml:space="preserve"> Diesel</v>
          </cell>
          <cell r="D138">
            <v>5.7469999999999999</v>
          </cell>
          <cell r="E138">
            <v>29.155100000000001</v>
          </cell>
        </row>
        <row r="139">
          <cell r="A139" t="str">
            <v>E909</v>
          </cell>
          <cell r="B139" t="str">
            <v xml:space="preserve">Equip. para Hidrosemeadura: 5.500 l  </v>
          </cell>
          <cell r="C139" t="str">
            <v xml:space="preserve"> Diesel</v>
          </cell>
          <cell r="D139">
            <v>4.9703999999999997</v>
          </cell>
          <cell r="E139">
            <v>49.0715</v>
          </cell>
        </row>
        <row r="140">
          <cell r="A140" t="str">
            <v>E910</v>
          </cell>
          <cell r="B140" t="str">
            <v xml:space="preserve">Máquina Manual: 1361 - esmerilhadeira de disco  </v>
          </cell>
          <cell r="C140" t="str">
            <v xml:space="preserve"> Elétrico</v>
          </cell>
          <cell r="D140">
            <v>0</v>
          </cell>
          <cell r="E140">
            <v>5.9499999999999997E-2</v>
          </cell>
        </row>
        <row r="141">
          <cell r="A141" t="str">
            <v>E911</v>
          </cell>
          <cell r="B141" t="str">
            <v xml:space="preserve">Tripé-Sonda: MACH 850 - Tripé-Sonda com motor  </v>
          </cell>
          <cell r="C141" t="str">
            <v xml:space="preserve"> Diesel</v>
          </cell>
          <cell r="D141">
            <v>0</v>
          </cell>
          <cell r="E141">
            <v>10.1454</v>
          </cell>
        </row>
        <row r="142">
          <cell r="A142" t="str">
            <v>E912</v>
          </cell>
          <cell r="B142" t="str">
            <v xml:space="preserve">Máquina Manual: 1184 - furadeira elétrica de Impacto  </v>
          </cell>
          <cell r="C142" t="str">
            <v xml:space="preserve"> Elétrico</v>
          </cell>
          <cell r="D142">
            <v>0</v>
          </cell>
          <cell r="E142">
            <v>2.9499999999999998E-2</v>
          </cell>
        </row>
        <row r="143">
          <cell r="A143" t="str">
            <v>E914</v>
          </cell>
          <cell r="B143" t="str">
            <v xml:space="preserve">Compactador Manual: VPY-1750 - placa vibratória c/ motor  </v>
          </cell>
          <cell r="C143" t="str">
            <v xml:space="preserve"> Diesel</v>
          </cell>
          <cell r="D143">
            <v>3.7277999999999998</v>
          </cell>
          <cell r="E143">
            <v>5.5388999999999999</v>
          </cell>
        </row>
        <row r="144">
          <cell r="A144" t="str">
            <v>E915</v>
          </cell>
          <cell r="B144" t="str">
            <v xml:space="preserve">Vassoura Mecânica: equip. varred. aspirad.  </v>
          </cell>
          <cell r="C144" t="str">
            <v xml:space="preserve"> Diesel</v>
          </cell>
          <cell r="D144">
            <v>4.9703999999999997</v>
          </cell>
          <cell r="E144">
            <v>59.407400000000003</v>
          </cell>
        </row>
        <row r="145">
          <cell r="A145" t="str">
            <v>E916</v>
          </cell>
          <cell r="B145" t="str">
            <v xml:space="preserve">Máquina Manual: moto serra nº 8  </v>
          </cell>
          <cell r="C145" t="str">
            <v xml:space="preserve"> Gasolina</v>
          </cell>
          <cell r="D145">
            <v>3.7277999999999998</v>
          </cell>
          <cell r="E145">
            <v>7.4124999999999996</v>
          </cell>
        </row>
        <row r="146">
          <cell r="A146" t="str">
            <v>E917</v>
          </cell>
          <cell r="B146" t="str">
            <v xml:space="preserve">Máquina de Bancada: C-6A universal de corte p/ chapa  </v>
          </cell>
          <cell r="C146" t="str">
            <v xml:space="preserve"> Elétrico</v>
          </cell>
          <cell r="D146">
            <v>3.7277999999999998</v>
          </cell>
          <cell r="E146">
            <v>4.8696999999999999</v>
          </cell>
        </row>
        <row r="147">
          <cell r="A147" t="str">
            <v>E918</v>
          </cell>
          <cell r="B147" t="str">
            <v xml:space="preserve">Máquina de Bancada: EB-08 - prensa excêntrica  </v>
          </cell>
          <cell r="C147" t="str">
            <v xml:space="preserve"> Elétrico</v>
          </cell>
          <cell r="D147">
            <v>0</v>
          </cell>
          <cell r="E147">
            <v>0.41660000000000003</v>
          </cell>
        </row>
        <row r="148">
          <cell r="A148" t="str">
            <v>E919</v>
          </cell>
          <cell r="B148" t="str">
            <v xml:space="preserve">Máquina de Bancada: GMN 1202 - guilhotina   8 t  </v>
          </cell>
          <cell r="C148" t="str">
            <v xml:space="preserve"> Elétrico</v>
          </cell>
          <cell r="D148">
            <v>0</v>
          </cell>
          <cell r="E148">
            <v>0.94179999999999997</v>
          </cell>
        </row>
        <row r="149">
          <cell r="A149" t="str">
            <v>E920</v>
          </cell>
          <cell r="B149" t="str">
            <v xml:space="preserve">Máquina para Pintura: FX45-HSP - de faixa a quente p/ mat. termop.  </v>
          </cell>
          <cell r="C149" t="str">
            <v xml:space="preserve"> Diesel</v>
          </cell>
          <cell r="D149">
            <v>5.7469999999999999</v>
          </cell>
          <cell r="E149">
            <v>30.822399999999998</v>
          </cell>
        </row>
        <row r="150">
          <cell r="A150" t="str">
            <v>E921</v>
          </cell>
          <cell r="B150" t="str">
            <v xml:space="preserve">Fusor: 600 l  </v>
          </cell>
          <cell r="C150" t="str">
            <v xml:space="preserve"> Diesel</v>
          </cell>
          <cell r="D150">
            <v>0</v>
          </cell>
          <cell r="E150">
            <v>13.382400000000001</v>
          </cell>
        </row>
        <row r="151">
          <cell r="A151" t="str">
            <v>E922</v>
          </cell>
          <cell r="B151" t="str">
            <v xml:space="preserve">Martelete: perfurador/ rompedor elétrico 11316  </v>
          </cell>
          <cell r="C151" t="str">
            <v xml:space="preserve"> Elétrico</v>
          </cell>
          <cell r="D151">
            <v>3.7277999999999998</v>
          </cell>
          <cell r="E151">
            <v>4.0044000000000004</v>
          </cell>
        </row>
        <row r="152">
          <cell r="A152" t="str">
            <v>E923</v>
          </cell>
          <cell r="B152" t="str">
            <v xml:space="preserve">Máquina Manual: lixadeira 1353-7"  </v>
          </cell>
          <cell r="C152" t="str">
            <v xml:space="preserve"> Elétrico</v>
          </cell>
          <cell r="D152">
            <v>0</v>
          </cell>
          <cell r="E152">
            <v>7.5899999999999995E-2</v>
          </cell>
        </row>
        <row r="153">
          <cell r="A153" t="str">
            <v>E924</v>
          </cell>
          <cell r="B153" t="str">
            <v xml:space="preserve">Equip. para Solda: Bantam 2000 - transformador solda elétr. 250 amp  </v>
          </cell>
          <cell r="C153" t="str">
            <v xml:space="preserve"> Elétrico</v>
          </cell>
          <cell r="D153">
            <v>0</v>
          </cell>
          <cell r="E153">
            <v>3.73E-2</v>
          </cell>
        </row>
        <row r="154">
          <cell r="A154" t="str">
            <v>E925</v>
          </cell>
          <cell r="B154" t="str">
            <v xml:space="preserve">Aplicador de Material Termoplástico: por extrusão  </v>
          </cell>
          <cell r="C154" t="str">
            <v xml:space="preserve"> Diesel</v>
          </cell>
          <cell r="D154">
            <v>0</v>
          </cell>
          <cell r="E154">
            <v>4.17</v>
          </cell>
        </row>
      </sheetData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ado"/>
      <sheetName val="Realizado"/>
      <sheetName val="Produtividade Geral"/>
      <sheetName val="Painel de Vizualização"/>
      <sheetName val="Resumo Dinâmico"/>
    </sheetNames>
    <sheetDataSet>
      <sheetData sheetId="0">
        <row r="6">
          <cell r="L6" t="str">
            <v>Ailton</v>
          </cell>
        </row>
        <row r="7">
          <cell r="L7" t="str">
            <v>Antonio</v>
          </cell>
        </row>
        <row r="8">
          <cell r="L8" t="str">
            <v>Reinaldo</v>
          </cell>
        </row>
        <row r="9">
          <cell r="L9" t="str">
            <v>Severino</v>
          </cell>
        </row>
        <row r="10">
          <cell r="L10" t="str">
            <v>Hugo</v>
          </cell>
        </row>
        <row r="11">
          <cell r="L11" t="str">
            <v>Rosivan</v>
          </cell>
        </row>
        <row r="12">
          <cell r="L12" t="str">
            <v>Azevedo</v>
          </cell>
        </row>
        <row r="13">
          <cell r="L13" t="str">
            <v>Cristiano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TAFISICA DEZ2018"/>
      <sheetName val="ANALISE CRITICA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AURAÇÃO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Plan4"/>
      <sheetName val="Plan5"/>
      <sheetName val="Plan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9C63-E603-854F-A170-91A27F771C16}">
  <sheetPr>
    <tabColor rgb="FF00B050"/>
    <pageSetUpPr fitToPage="1"/>
  </sheetPr>
  <dimension ref="A1:K30"/>
  <sheetViews>
    <sheetView showGridLines="0" tabSelected="1" view="pageBreakPreview" zoomScale="85" zoomScaleNormal="100" zoomScaleSheetLayoutView="85" workbookViewId="0">
      <selection activeCell="E24" sqref="E24"/>
    </sheetView>
  </sheetViews>
  <sheetFormatPr defaultColWidth="9" defaultRowHeight="12" x14ac:dyDescent="0.2"/>
  <cols>
    <col min="1" max="1" width="15.33203125" style="1" customWidth="1"/>
    <col min="2" max="2" width="89.1640625" style="1" customWidth="1"/>
    <col min="3" max="3" width="18.5" style="7" bestFit="1" customWidth="1"/>
    <col min="4" max="4" width="20.83203125" style="3" bestFit="1" customWidth="1"/>
    <col min="5" max="5" width="15.1640625" style="4" bestFit="1" customWidth="1"/>
    <col min="6" max="6" width="18.5" style="2" bestFit="1" customWidth="1"/>
    <col min="7" max="7" width="17.1640625" style="1" bestFit="1" customWidth="1"/>
    <col min="8" max="8" width="10.5" style="7" customWidth="1"/>
    <col min="9" max="9" width="10.6640625" style="1" customWidth="1"/>
    <col min="10" max="10" width="10.33203125" style="7" bestFit="1" customWidth="1"/>
    <col min="11" max="11" width="27.1640625" style="1" bestFit="1" customWidth="1"/>
    <col min="12" max="16384" width="9" style="1"/>
  </cols>
  <sheetData>
    <row r="1" spans="1:11" s="11" customFormat="1" ht="12.75" x14ac:dyDescent="0.2">
      <c r="A1" s="16"/>
      <c r="B1" s="17"/>
      <c r="C1" s="17"/>
      <c r="D1" s="17"/>
      <c r="E1" s="17"/>
      <c r="F1" s="17"/>
      <c r="G1" s="17"/>
      <c r="H1" s="85"/>
      <c r="I1" s="17"/>
      <c r="J1" s="88"/>
    </row>
    <row r="2" spans="1:11" s="11" customFormat="1" ht="12.75" x14ac:dyDescent="0.2">
      <c r="A2" s="266" t="s">
        <v>0</v>
      </c>
      <c r="B2" s="267"/>
      <c r="C2" s="18"/>
      <c r="D2" s="19"/>
      <c r="E2" s="13"/>
      <c r="H2" s="136"/>
      <c r="J2" s="89"/>
    </row>
    <row r="3" spans="1:11" s="11" customFormat="1" ht="12.75" x14ac:dyDescent="0.2">
      <c r="A3" s="266"/>
      <c r="B3" s="267"/>
      <c r="C3" s="18"/>
      <c r="D3" s="19"/>
      <c r="E3" s="13"/>
      <c r="H3" s="136"/>
      <c r="J3" s="89"/>
    </row>
    <row r="4" spans="1:11" s="11" customFormat="1" ht="12.75" x14ac:dyDescent="0.2">
      <c r="A4" s="20"/>
      <c r="B4" s="21"/>
      <c r="C4" s="70"/>
      <c r="D4" s="22"/>
      <c r="E4" s="13"/>
      <c r="H4" s="136"/>
      <c r="J4" s="89"/>
    </row>
    <row r="5" spans="1:11" s="11" customFormat="1" ht="27.95" customHeight="1" x14ac:dyDescent="0.2">
      <c r="A5" s="266" t="s">
        <v>494</v>
      </c>
      <c r="B5" s="267"/>
      <c r="C5" s="267"/>
      <c r="D5" s="267"/>
      <c r="E5" s="267"/>
      <c r="H5" s="136"/>
      <c r="J5" s="89"/>
    </row>
    <row r="6" spans="1:11" s="11" customFormat="1" ht="24" customHeight="1" x14ac:dyDescent="0.2">
      <c r="A6" s="69" t="s">
        <v>1</v>
      </c>
      <c r="B6" s="18" t="s">
        <v>2</v>
      </c>
      <c r="C6" s="137" t="s">
        <v>495</v>
      </c>
      <c r="D6" s="217" t="str">
        <f>'BOLETIM DE MEDIÇÃO'!F9</f>
        <v>01/01/26 à 31/01/26</v>
      </c>
      <c r="E6" s="13"/>
      <c r="H6" s="136"/>
      <c r="J6" s="89"/>
    </row>
    <row r="7" spans="1:11" s="11" customFormat="1" ht="12.75" x14ac:dyDescent="0.2">
      <c r="A7" s="23" t="s">
        <v>493</v>
      </c>
      <c r="B7" s="18" t="str">
        <f>'BOLETIM DE MEDIÇÃO'!B9</f>
        <v>CT 054/23</v>
      </c>
      <c r="C7" s="139"/>
      <c r="D7" s="22"/>
      <c r="E7" s="13"/>
      <c r="H7" s="136"/>
      <c r="J7" s="89"/>
    </row>
    <row r="8" spans="1:11" s="11" customFormat="1" ht="12.75" x14ac:dyDescent="0.2">
      <c r="A8" s="23" t="s">
        <v>492</v>
      </c>
      <c r="B8" s="18"/>
      <c r="C8" s="137" t="s">
        <v>4</v>
      </c>
      <c r="D8" s="140">
        <f>'BOLETIM DE MEDIÇÃO'!F8</f>
        <v>23</v>
      </c>
      <c r="E8" s="13"/>
      <c r="H8" s="136"/>
      <c r="J8" s="89"/>
    </row>
    <row r="9" spans="1:11" s="11" customFormat="1" ht="12.75" x14ac:dyDescent="0.2">
      <c r="A9" s="23"/>
      <c r="C9" s="70"/>
      <c r="D9" s="22"/>
      <c r="E9" s="13"/>
      <c r="H9" s="136"/>
      <c r="J9" s="89"/>
    </row>
    <row r="10" spans="1:11" s="11" customFormat="1" ht="18" x14ac:dyDescent="0.2">
      <c r="A10" s="268" t="s">
        <v>5</v>
      </c>
      <c r="B10" s="269"/>
      <c r="C10" s="269"/>
      <c r="D10" s="269"/>
      <c r="E10" s="269"/>
      <c r="F10" s="269"/>
      <c r="G10" s="269"/>
      <c r="H10" s="269"/>
      <c r="I10" s="269"/>
      <c r="J10" s="270"/>
    </row>
    <row r="11" spans="1:11" s="11" customFormat="1" ht="12.75" x14ac:dyDescent="0.2">
      <c r="A11" s="24" t="s">
        <v>6</v>
      </c>
      <c r="B11" s="15" t="s">
        <v>7</v>
      </c>
      <c r="C11" s="12"/>
      <c r="D11" s="13"/>
      <c r="E11" s="14"/>
      <c r="H11" s="136"/>
      <c r="J11" s="90"/>
    </row>
    <row r="12" spans="1:11" s="11" customFormat="1" ht="12.75" x14ac:dyDescent="0.2">
      <c r="A12" s="25" t="s">
        <v>8</v>
      </c>
      <c r="B12" s="26" t="s">
        <v>9</v>
      </c>
      <c r="C12" s="26"/>
      <c r="D12" s="26"/>
      <c r="E12" s="27"/>
      <c r="F12" s="27"/>
      <c r="G12" s="27"/>
      <c r="H12" s="86"/>
      <c r="I12" s="27"/>
      <c r="J12" s="91"/>
    </row>
    <row r="13" spans="1:11" ht="38.25" x14ac:dyDescent="0.2">
      <c r="A13" s="125" t="s">
        <v>10</v>
      </c>
      <c r="B13" s="126" t="s">
        <v>11</v>
      </c>
      <c r="C13" s="125" t="s">
        <v>12</v>
      </c>
      <c r="D13" s="125" t="s">
        <v>13</v>
      </c>
      <c r="E13" s="125" t="s">
        <v>14</v>
      </c>
      <c r="F13" s="125" t="s">
        <v>15</v>
      </c>
      <c r="G13" s="127" t="s">
        <v>16</v>
      </c>
      <c r="H13" s="128" t="s">
        <v>17</v>
      </c>
      <c r="I13" s="128" t="s">
        <v>18</v>
      </c>
      <c r="J13" s="128" t="s">
        <v>19</v>
      </c>
      <c r="K13" s="10"/>
    </row>
    <row r="14" spans="1:11" s="29" customFormat="1" ht="12.75" x14ac:dyDescent="0.2">
      <c r="A14" s="115" t="str">
        <f>'BOLETIM DE MEDIÇÃO'!A13</f>
        <v>01</v>
      </c>
      <c r="B14" s="39" t="str">
        <f>'BOLETIM DE MEDIÇÃO'!C13</f>
        <v>SERVIÇOS PRELIMINARES</v>
      </c>
      <c r="C14" s="82">
        <f>'BOLETIM DE MEDIÇÃO'!L$13</f>
        <v>55951.119999999995</v>
      </c>
      <c r="D14" s="82">
        <f>'BOLETIM DE MEDIÇÃO'!M$13</f>
        <v>46445.45</v>
      </c>
      <c r="E14" s="82">
        <f>'BOLETIM DE MEDIÇÃO'!N$13</f>
        <v>0</v>
      </c>
      <c r="F14" s="82">
        <f>'BOLETIM DE MEDIÇÃO'!O$13</f>
        <v>46445.45</v>
      </c>
      <c r="G14" s="82">
        <f>'BOLETIM DE MEDIÇÃO'!P$13</f>
        <v>9505.67</v>
      </c>
      <c r="H14" s="87">
        <f>E14/C14*100</f>
        <v>0</v>
      </c>
      <c r="I14" s="43">
        <f>F14/C14*100</f>
        <v>83.010760106321385</v>
      </c>
      <c r="J14" s="116">
        <f>G14/C14*100</f>
        <v>16.989239893678626</v>
      </c>
      <c r="K14" s="134">
        <f t="shared" ref="K14:K21" si="0">C14-(F14+G14)</f>
        <v>0</v>
      </c>
    </row>
    <row r="15" spans="1:11" s="29" customFormat="1" ht="12.75" x14ac:dyDescent="0.2">
      <c r="A15" s="117" t="str">
        <f>'BOLETIM DE MEDIÇÃO'!A23</f>
        <v>02</v>
      </c>
      <c r="B15" s="40" t="str">
        <f>'BOLETIM DE MEDIÇÃO'!C23</f>
        <v>CANTEIRO DA OBRA</v>
      </c>
      <c r="C15" s="83">
        <f>'BOLETIM DE MEDIÇÃO'!L$23</f>
        <v>160840.31</v>
      </c>
      <c r="D15" s="83">
        <f>'BOLETIM DE MEDIÇÃO'!M$23</f>
        <v>160840.31</v>
      </c>
      <c r="E15" s="83">
        <f>'BOLETIM DE MEDIÇÃO'!N$23</f>
        <v>0</v>
      </c>
      <c r="F15" s="83">
        <f>'BOLETIM DE MEDIÇÃO'!O$23</f>
        <v>160840.31</v>
      </c>
      <c r="G15" s="83">
        <f>'BOLETIM DE MEDIÇÃO'!P$23</f>
        <v>0</v>
      </c>
      <c r="H15" s="87">
        <f t="shared" ref="H15:H23" si="1">E15/C15*100</f>
        <v>0</v>
      </c>
      <c r="I15" s="43">
        <f t="shared" ref="I15:I23" si="2">F15/C15*100</f>
        <v>100</v>
      </c>
      <c r="J15" s="116">
        <f t="shared" ref="J15:J23" si="3">G15/C15*100</f>
        <v>0</v>
      </c>
      <c r="K15" s="134">
        <f t="shared" si="0"/>
        <v>0</v>
      </c>
    </row>
    <row r="16" spans="1:11" s="29" customFormat="1" ht="12.75" x14ac:dyDescent="0.2">
      <c r="A16" s="117" t="str">
        <f>'BOLETIM DE MEDIÇÃO'!A49</f>
        <v>03</v>
      </c>
      <c r="B16" s="40" t="str">
        <f>'BOLETIM DE MEDIÇÃO'!C49</f>
        <v>TERRAPLENAGEM</v>
      </c>
      <c r="C16" s="83">
        <f>'BOLETIM DE MEDIÇÃO'!L$49</f>
        <v>1131946.92</v>
      </c>
      <c r="D16" s="83">
        <f>'BOLETIM DE MEDIÇÃO'!M$49</f>
        <v>1130077.03</v>
      </c>
      <c r="E16" s="83">
        <f>'BOLETIM DE MEDIÇÃO'!N$49</f>
        <v>0</v>
      </c>
      <c r="F16" s="83">
        <f>'BOLETIM DE MEDIÇÃO'!O$49</f>
        <v>1130077.03</v>
      </c>
      <c r="G16" s="83">
        <f>'BOLETIM DE MEDIÇÃO'!P$49</f>
        <v>1869.889999999999</v>
      </c>
      <c r="H16" s="87">
        <f t="shared" si="1"/>
        <v>0</v>
      </c>
      <c r="I16" s="43">
        <f t="shared" si="2"/>
        <v>99.834807625078398</v>
      </c>
      <c r="J16" s="116">
        <f t="shared" si="3"/>
        <v>0.16519237492160843</v>
      </c>
      <c r="K16" s="134">
        <f t="shared" si="0"/>
        <v>0</v>
      </c>
    </row>
    <row r="17" spans="1:11" s="29" customFormat="1" ht="12.75" x14ac:dyDescent="0.2">
      <c r="A17" s="117" t="str">
        <f>'BOLETIM DE MEDIÇÃO'!A61</f>
        <v>04</v>
      </c>
      <c r="B17" s="40" t="str">
        <f>'BOLETIM DE MEDIÇÃO'!C61</f>
        <v>DRENAGEM PLUVIAL</v>
      </c>
      <c r="C17" s="83">
        <f>'BOLETIM DE MEDIÇÃO'!L$61</f>
        <v>2093699.4400000006</v>
      </c>
      <c r="D17" s="83">
        <f>'BOLETIM DE MEDIÇÃO'!M$61</f>
        <v>1309448.2</v>
      </c>
      <c r="E17" s="83">
        <f>'BOLETIM DE MEDIÇÃO'!N$61</f>
        <v>0</v>
      </c>
      <c r="F17" s="83">
        <f>'BOLETIM DE MEDIÇÃO'!O$61</f>
        <v>1309448.2</v>
      </c>
      <c r="G17" s="83">
        <f>'BOLETIM DE MEDIÇÃO'!P$61</f>
        <v>784251.23999999987</v>
      </c>
      <c r="H17" s="87">
        <f t="shared" si="1"/>
        <v>0</v>
      </c>
      <c r="I17" s="43">
        <f t="shared" si="2"/>
        <v>62.542319827911861</v>
      </c>
      <c r="J17" s="116">
        <f t="shared" si="3"/>
        <v>37.457680172088104</v>
      </c>
      <c r="K17" s="134">
        <f t="shared" si="0"/>
        <v>0</v>
      </c>
    </row>
    <row r="18" spans="1:11" s="29" customFormat="1" ht="12.75" x14ac:dyDescent="0.2">
      <c r="A18" s="117" t="str">
        <f>'BOLETIM DE MEDIÇÃO'!A126</f>
        <v>05</v>
      </c>
      <c r="B18" s="40" t="str">
        <f>'BOLETIM DE MEDIÇÃO'!C126</f>
        <v>PAVIMENTAÇÃO</v>
      </c>
      <c r="C18" s="83">
        <f>'BOLETIM DE MEDIÇÃO'!L$126</f>
        <v>4362162.93</v>
      </c>
      <c r="D18" s="83">
        <f>'BOLETIM DE MEDIÇÃO'!M$126</f>
        <v>4238110.5600000005</v>
      </c>
      <c r="E18" s="83">
        <f>'BOLETIM DE MEDIÇÃO'!N$126</f>
        <v>113279.08</v>
      </c>
      <c r="F18" s="83">
        <f>'BOLETIM DE MEDIÇÃO'!O$126</f>
        <v>4351389.62</v>
      </c>
      <c r="G18" s="83">
        <f>'BOLETIM DE MEDIÇÃO'!P$126</f>
        <v>10773.31000000016</v>
      </c>
      <c r="H18" s="87">
        <f t="shared" si="1"/>
        <v>2.5968557758570472</v>
      </c>
      <c r="I18" s="43">
        <f t="shared" si="2"/>
        <v>99.753028252890147</v>
      </c>
      <c r="J18" s="116">
        <f t="shared" si="3"/>
        <v>0.24697174710987149</v>
      </c>
      <c r="K18" s="134">
        <f t="shared" si="0"/>
        <v>0</v>
      </c>
    </row>
    <row r="19" spans="1:11" s="29" customFormat="1" ht="12.75" x14ac:dyDescent="0.2">
      <c r="A19" s="117" t="str">
        <f>'BOLETIM DE MEDIÇÃO'!A159</f>
        <v>06</v>
      </c>
      <c r="B19" s="40" t="str">
        <f>'BOLETIM DE MEDIÇÃO'!C159</f>
        <v>SINALIZAÇÃO VIARIA</v>
      </c>
      <c r="C19" s="83">
        <f>'BOLETIM DE MEDIÇÃO'!L$159</f>
        <v>541342.48</v>
      </c>
      <c r="D19" s="83">
        <f>'BOLETIM DE MEDIÇÃO'!M$159</f>
        <v>0</v>
      </c>
      <c r="E19" s="83">
        <f>'BOLETIM DE MEDIÇÃO'!N$159</f>
        <v>0</v>
      </c>
      <c r="F19" s="83">
        <f>'BOLETIM DE MEDIÇÃO'!O$159</f>
        <v>0</v>
      </c>
      <c r="G19" s="83">
        <f>'BOLETIM DE MEDIÇÃO'!P$159</f>
        <v>541342.48</v>
      </c>
      <c r="H19" s="87">
        <f t="shared" si="1"/>
        <v>0</v>
      </c>
      <c r="I19" s="43">
        <f t="shared" si="2"/>
        <v>0</v>
      </c>
      <c r="J19" s="116">
        <f t="shared" si="3"/>
        <v>100</v>
      </c>
      <c r="K19" s="134">
        <f t="shared" si="0"/>
        <v>0</v>
      </c>
    </row>
    <row r="20" spans="1:11" s="29" customFormat="1" ht="12.75" x14ac:dyDescent="0.2">
      <c r="A20" s="117" t="str">
        <f>'BOLETIM DE MEDIÇÃO'!A174</f>
        <v>07</v>
      </c>
      <c r="B20" s="40" t="str">
        <f>'BOLETIM DE MEDIÇÃO'!C174</f>
        <v>OBRAS COMPLEMENTARES</v>
      </c>
      <c r="C20" s="83">
        <f>'BOLETIM DE MEDIÇÃO'!L$174</f>
        <v>704610.42</v>
      </c>
      <c r="D20" s="83">
        <f>'BOLETIM DE MEDIÇÃO'!M$174</f>
        <v>181866.99000000002</v>
      </c>
      <c r="E20" s="83">
        <f>'BOLETIM DE MEDIÇÃO'!N$174</f>
        <v>0</v>
      </c>
      <c r="F20" s="83">
        <f>'BOLETIM DE MEDIÇÃO'!O$174</f>
        <v>181866.99000000002</v>
      </c>
      <c r="G20" s="83">
        <f>'BOLETIM DE MEDIÇÃO'!P$174</f>
        <v>522743.43</v>
      </c>
      <c r="H20" s="87">
        <f t="shared" si="1"/>
        <v>0</v>
      </c>
      <c r="I20" s="43">
        <f t="shared" si="2"/>
        <v>25.810999218546897</v>
      </c>
      <c r="J20" s="116">
        <f t="shared" si="3"/>
        <v>74.189000781453103</v>
      </c>
      <c r="K20" s="134">
        <f t="shared" si="0"/>
        <v>0</v>
      </c>
    </row>
    <row r="21" spans="1:11" s="29" customFormat="1" ht="12.75" x14ac:dyDescent="0.2">
      <c r="A21" s="118" t="str">
        <f>'BOLETIM DE MEDIÇÃO'!A191</f>
        <v>08</v>
      </c>
      <c r="B21" s="41" t="str">
        <f>'BOLETIM DE MEDIÇÃO'!C191</f>
        <v>ADMINISTRAÇÃO DO EMPREENDIMENTO</v>
      </c>
      <c r="C21" s="84">
        <f>'BOLETIM DE MEDIÇÃO'!L$191</f>
        <v>254083.18999999997</v>
      </c>
      <c r="D21" s="135">
        <f>'BOLETIM DE MEDIÇÃO'!M$191</f>
        <v>197497.69999999998</v>
      </c>
      <c r="E21" s="84">
        <f>'BOLETIM DE MEDIÇÃO'!N$191</f>
        <v>5262.2369009999993</v>
      </c>
      <c r="F21" s="84">
        <f>'BOLETIM DE MEDIÇÃO'!O$191</f>
        <v>202759.93690100001</v>
      </c>
      <c r="G21" s="84">
        <f>'BOLETIM DE MEDIÇÃO'!P$191</f>
        <v>51323.253098999994</v>
      </c>
      <c r="H21" s="87">
        <f t="shared" si="1"/>
        <v>2.0710684957159109</v>
      </c>
      <c r="I21" s="43">
        <f t="shared" si="2"/>
        <v>79.80061054058713</v>
      </c>
      <c r="J21" s="116">
        <f t="shared" si="3"/>
        <v>20.199389459412881</v>
      </c>
      <c r="K21" s="134">
        <f t="shared" si="0"/>
        <v>0</v>
      </c>
    </row>
    <row r="22" spans="1:11" s="29" customFormat="1" ht="12.75" x14ac:dyDescent="0.2">
      <c r="A22" s="118" t="str">
        <f>'BOLETIM DE MEDIÇÃO'!A192</f>
        <v>08.01</v>
      </c>
      <c r="B22" s="41" t="str">
        <f>'BOLETIM DE MEDIÇÃO'!C192</f>
        <v>ADMINISTRAÇÃO LOCAL</v>
      </c>
      <c r="C22" s="84">
        <f>'BOLETIM DE MEDIÇÃO'!L192</f>
        <v>240284.78999999998</v>
      </c>
      <c r="D22" s="84">
        <f>'BOLETIM DE MEDIÇÃO'!M192</f>
        <v>190598.49999999997</v>
      </c>
      <c r="E22" s="84">
        <f>'BOLETIM DE MEDIÇÃO'!N$191</f>
        <v>5262.2369009999993</v>
      </c>
      <c r="F22" s="84">
        <f>'BOLETIM DE MEDIÇÃO'!O192</f>
        <v>195860.736901</v>
      </c>
      <c r="G22" s="84">
        <f>'BOLETIM DE MEDIÇÃO'!P192</f>
        <v>44424.053098999997</v>
      </c>
      <c r="H22" s="87">
        <f t="shared" ref="H22" si="4">E22/C22*100</f>
        <v>2.19</v>
      </c>
      <c r="I22" s="43">
        <f t="shared" ref="I22" si="5">F22/C22*100</f>
        <v>81.511916297739859</v>
      </c>
      <c r="J22" s="116">
        <f t="shared" ref="J22" si="6">G22/C22*100</f>
        <v>18.488083702260138</v>
      </c>
      <c r="K22" s="134">
        <f t="shared" ref="K22" si="7">C22-(F22+G22)</f>
        <v>0</v>
      </c>
    </row>
    <row r="23" spans="1:11" s="29" customFormat="1" ht="12.75" x14ac:dyDescent="0.2">
      <c r="A23" s="119" t="str">
        <f>'BOLETIM DE MEDIÇÃO'!A198</f>
        <v>09</v>
      </c>
      <c r="B23" s="120" t="str">
        <f>'BOLETIM DE MEDIÇÃO'!C198</f>
        <v>AQUISIÇÃO DE MATERIAIS BETUMINOSOS</v>
      </c>
      <c r="C23" s="121">
        <f>'BOLETIM DE MEDIÇÃO'!L$198</f>
        <v>2983569.2499999995</v>
      </c>
      <c r="D23" s="121">
        <f>'BOLETIM DE MEDIÇÃO'!M$198</f>
        <v>2488832.02</v>
      </c>
      <c r="E23" s="121">
        <f>'BOLETIM DE MEDIÇÃO'!N$198</f>
        <v>150568.40999999997</v>
      </c>
      <c r="F23" s="121">
        <f>'BOLETIM DE MEDIÇÃO'!O$198</f>
        <v>2639400.4300000002</v>
      </c>
      <c r="G23" s="121">
        <f>'BOLETIM DE MEDIÇÃO'!P$198</f>
        <v>344168.81999999972</v>
      </c>
      <c r="H23" s="122">
        <f t="shared" si="1"/>
        <v>5.0465867349986935</v>
      </c>
      <c r="I23" s="123">
        <f t="shared" si="2"/>
        <v>88.464527176635855</v>
      </c>
      <c r="J23" s="124">
        <f t="shared" si="3"/>
        <v>11.535472823364156</v>
      </c>
      <c r="K23" s="134">
        <f>C23-(F23+G23)</f>
        <v>0</v>
      </c>
    </row>
    <row r="24" spans="1:11" s="6" customFormat="1" ht="12.75" x14ac:dyDescent="0.2">
      <c r="A24" s="129"/>
      <c r="B24" s="130" t="s">
        <v>20</v>
      </c>
      <c r="C24" s="131">
        <f>SUM(C14:C23)-C22</f>
        <v>12288206.060000001</v>
      </c>
      <c r="D24" s="131">
        <f t="shared" ref="D24:G24" si="8">SUM(D14:D23)-D22</f>
        <v>9753118.2600000016</v>
      </c>
      <c r="E24" s="131">
        <f t="shared" si="8"/>
        <v>269109.72690099996</v>
      </c>
      <c r="F24" s="131">
        <f t="shared" si="8"/>
        <v>10022227.966901001</v>
      </c>
      <c r="G24" s="131">
        <f t="shared" si="8"/>
        <v>2265978.0930989999</v>
      </c>
      <c r="H24" s="132">
        <f>E24/$C$24*100</f>
        <v>2.1899838396834301</v>
      </c>
      <c r="I24" s="133">
        <f>F24/$C$24*100</f>
        <v>81.559732299126182</v>
      </c>
      <c r="J24" s="132">
        <f>G24/$C$24*100</f>
        <v>18.440267700873825</v>
      </c>
      <c r="K24" s="9"/>
    </row>
    <row r="25" spans="1:11" ht="23.1" customHeight="1" x14ac:dyDescent="0.2">
      <c r="A25" s="263"/>
      <c r="B25" s="264"/>
      <c r="C25" s="264"/>
      <c r="D25" s="264"/>
      <c r="E25" s="264"/>
      <c r="F25" s="264"/>
      <c r="G25" s="264"/>
      <c r="H25" s="264"/>
      <c r="I25" s="264"/>
      <c r="J25" s="265"/>
    </row>
    <row r="26" spans="1:11" x14ac:dyDescent="0.2">
      <c r="G26" s="92"/>
    </row>
    <row r="30" spans="1:11" ht="12.75" x14ac:dyDescent="0.2">
      <c r="E30" s="5"/>
    </row>
  </sheetData>
  <mergeCells count="4">
    <mergeCell ref="A25:J25"/>
    <mergeCell ref="A2:B3"/>
    <mergeCell ref="A5:E5"/>
    <mergeCell ref="A10:J10"/>
  </mergeCells>
  <pageMargins left="0.51181102362204722" right="0.51181102362204722" top="1.1811023622047245" bottom="0.78740157480314965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213"/>
  <sheetViews>
    <sheetView showGridLines="0" view="pageBreakPreview" topLeftCell="C1" zoomScale="70" zoomScaleNormal="55" zoomScaleSheetLayoutView="70" workbookViewId="0">
      <pane ySplit="1" topLeftCell="A185" activePane="bottomLeft" state="frozen"/>
      <selection activeCell="E24" sqref="E24"/>
      <selection pane="bottomLeft" activeCell="G194" sqref="G194"/>
    </sheetView>
  </sheetViews>
  <sheetFormatPr defaultColWidth="9" defaultRowHeight="12" x14ac:dyDescent="0.2"/>
  <cols>
    <col min="1" max="1" width="17.5" style="1" customWidth="1"/>
    <col min="2" max="2" width="14.83203125" style="8" customWidth="1"/>
    <col min="3" max="3" width="95.33203125" style="1" customWidth="1"/>
    <col min="4" max="4" width="7.6640625" style="7" customWidth="1"/>
    <col min="5" max="5" width="20.33203125" style="7" customWidth="1"/>
    <col min="6" max="6" width="19.6640625" style="7" customWidth="1"/>
    <col min="7" max="7" width="14.33203125" style="7" customWidth="1"/>
    <col min="8" max="8" width="18.5" style="7" customWidth="1"/>
    <col min="9" max="9" width="13" style="7" customWidth="1"/>
    <col min="10" max="10" width="17.1640625" style="4" hidden="1" customWidth="1"/>
    <col min="11" max="11" width="14.6640625" style="7" customWidth="1"/>
    <col min="12" max="12" width="22.83203125" style="7" bestFit="1" customWidth="1"/>
    <col min="13" max="13" width="21.83203125" style="7" bestFit="1" customWidth="1"/>
    <col min="14" max="14" width="18.6640625" style="7" bestFit="1" customWidth="1"/>
    <col min="15" max="15" width="22.1640625" style="7" customWidth="1"/>
    <col min="16" max="16" width="23" style="7" bestFit="1" customWidth="1"/>
    <col min="17" max="18" width="14.33203125" style="7" customWidth="1"/>
    <col min="19" max="19" width="13.1640625" style="7" customWidth="1"/>
    <col min="20" max="20" width="27.1640625" style="1" hidden="1" customWidth="1"/>
    <col min="21" max="21" width="16.5" style="1" hidden="1" customWidth="1"/>
    <col min="22" max="22" width="13.83203125" style="1" hidden="1" customWidth="1"/>
    <col min="23" max="23" width="0" style="1" hidden="1" customWidth="1"/>
    <col min="24" max="24" width="9" style="1"/>
    <col min="25" max="25" width="9.33203125" style="1" bestFit="1" customWidth="1"/>
    <col min="26" max="16384" width="9" style="1"/>
  </cols>
  <sheetData>
    <row r="1" spans="1:25" s="11" customFormat="1" ht="12.75" x14ac:dyDescent="0.2">
      <c r="A1" s="16"/>
      <c r="B1" s="17"/>
      <c r="C1" s="17"/>
      <c r="D1" s="85"/>
      <c r="E1" s="85"/>
      <c r="F1" s="85"/>
      <c r="G1" s="85"/>
      <c r="H1" s="85"/>
      <c r="I1" s="85"/>
      <c r="J1" s="17"/>
      <c r="K1" s="85"/>
      <c r="L1" s="85"/>
      <c r="M1" s="85"/>
      <c r="N1" s="85"/>
      <c r="O1" s="85"/>
      <c r="P1" s="85"/>
      <c r="Q1" s="85"/>
      <c r="R1" s="85"/>
      <c r="S1" s="88"/>
    </row>
    <row r="2" spans="1:25" s="11" customFormat="1" ht="12.75" x14ac:dyDescent="0.2">
      <c r="A2" s="266" t="s">
        <v>0</v>
      </c>
      <c r="B2" s="267"/>
      <c r="C2" s="267"/>
      <c r="D2" s="168"/>
      <c r="E2" s="168"/>
      <c r="F2" s="168"/>
      <c r="G2" s="168"/>
      <c r="H2" s="168"/>
      <c r="I2" s="168"/>
      <c r="J2" s="13"/>
      <c r="K2" s="136"/>
      <c r="L2" s="136"/>
      <c r="M2" s="136"/>
      <c r="N2" s="136"/>
      <c r="O2" s="136"/>
      <c r="P2" s="136"/>
      <c r="Q2" s="136"/>
      <c r="R2" s="136"/>
      <c r="S2" s="89"/>
    </row>
    <row r="3" spans="1:25" s="11" customFormat="1" ht="12.75" x14ac:dyDescent="0.2">
      <c r="A3" s="266"/>
      <c r="B3" s="267"/>
      <c r="C3" s="267"/>
      <c r="D3" s="168"/>
      <c r="E3" s="168"/>
      <c r="F3" s="168"/>
      <c r="G3" s="168"/>
      <c r="H3" s="168"/>
      <c r="I3" s="168"/>
      <c r="J3" s="13"/>
      <c r="K3" s="136"/>
      <c r="L3" s="136"/>
      <c r="M3" s="136"/>
      <c r="N3" s="136"/>
      <c r="O3" s="136"/>
      <c r="P3" s="136"/>
      <c r="Q3" s="136"/>
      <c r="R3" s="136"/>
      <c r="S3" s="89"/>
    </row>
    <row r="4" spans="1:25" s="11" customFormat="1" ht="12.75" x14ac:dyDescent="0.2">
      <c r="A4" s="20"/>
      <c r="B4" s="70"/>
      <c r="C4" s="21"/>
      <c r="D4" s="168"/>
      <c r="E4" s="138"/>
      <c r="F4" s="138"/>
      <c r="G4" s="138"/>
      <c r="H4" s="138"/>
      <c r="I4" s="138"/>
      <c r="J4" s="13"/>
      <c r="K4" s="136"/>
      <c r="L4" s="136"/>
      <c r="M4" s="136"/>
      <c r="N4" s="136"/>
      <c r="O4" s="136"/>
      <c r="P4" s="136"/>
      <c r="Q4" s="136"/>
      <c r="R4" s="136"/>
      <c r="S4" s="89"/>
    </row>
    <row r="5" spans="1:25" s="11" customFormat="1" ht="27.95" customHeight="1" x14ac:dyDescent="0.2">
      <c r="A5" s="266" t="s">
        <v>484</v>
      </c>
      <c r="B5" s="267"/>
      <c r="C5" s="267"/>
      <c r="D5" s="267"/>
      <c r="E5" s="267"/>
      <c r="F5" s="267"/>
      <c r="G5" s="267"/>
      <c r="H5" s="267"/>
      <c r="I5" s="267"/>
      <c r="J5" s="267"/>
      <c r="K5" s="136"/>
      <c r="L5" s="136"/>
      <c r="M5" s="136"/>
      <c r="N5" s="136"/>
      <c r="O5" s="136"/>
      <c r="P5" s="136"/>
      <c r="Q5" s="136"/>
      <c r="R5" s="136"/>
      <c r="S5" s="89"/>
    </row>
    <row r="6" spans="1:25" s="11" customFormat="1" ht="12.75" x14ac:dyDescent="0.2">
      <c r="A6" s="23"/>
      <c r="D6" s="168"/>
      <c r="E6" s="138"/>
      <c r="F6" s="138"/>
      <c r="G6" s="138"/>
      <c r="H6" s="138"/>
      <c r="I6" s="138"/>
      <c r="J6" s="13"/>
      <c r="K6" s="136"/>
      <c r="L6" s="136"/>
      <c r="M6" s="136"/>
      <c r="N6" s="136"/>
      <c r="O6" s="136"/>
      <c r="P6" s="136"/>
      <c r="Q6" s="136"/>
      <c r="R6" s="136"/>
      <c r="S6" s="89"/>
    </row>
    <row r="7" spans="1:25" s="11" customFormat="1" ht="18" x14ac:dyDescent="0.2">
      <c r="A7" s="268" t="s">
        <v>21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70"/>
    </row>
    <row r="8" spans="1:25" s="11" customFormat="1" ht="12.75" x14ac:dyDescent="0.2">
      <c r="A8" s="24" t="s">
        <v>6</v>
      </c>
      <c r="B8" s="15" t="s">
        <v>7</v>
      </c>
      <c r="C8" s="12"/>
      <c r="D8" s="141"/>
      <c r="E8" s="78" t="s">
        <v>22</v>
      </c>
      <c r="F8" s="66">
        <v>23</v>
      </c>
      <c r="G8" s="141"/>
      <c r="H8" s="141"/>
      <c r="I8" s="141"/>
      <c r="J8" s="14"/>
      <c r="K8" s="136"/>
      <c r="L8" s="136"/>
      <c r="M8" s="136"/>
      <c r="N8" s="136"/>
      <c r="O8" s="136"/>
      <c r="P8" s="136"/>
      <c r="Q8" s="136"/>
      <c r="R8" s="136"/>
      <c r="S8" s="90"/>
    </row>
    <row r="9" spans="1:25" s="11" customFormat="1" ht="12.75" x14ac:dyDescent="0.2">
      <c r="A9" s="25" t="s">
        <v>3</v>
      </c>
      <c r="B9" s="26" t="s">
        <v>23</v>
      </c>
      <c r="C9" s="26"/>
      <c r="D9" s="175"/>
      <c r="E9" s="79" t="s">
        <v>495</v>
      </c>
      <c r="F9" s="26" t="s">
        <v>569</v>
      </c>
      <c r="G9" s="175"/>
      <c r="H9" s="175"/>
      <c r="I9" s="175"/>
      <c r="J9" s="27"/>
      <c r="K9" s="86"/>
      <c r="L9" s="86"/>
      <c r="M9" s="86"/>
      <c r="N9" s="86"/>
      <c r="O9" s="86"/>
      <c r="P9" s="86"/>
      <c r="Q9" s="86"/>
      <c r="R9" s="86"/>
      <c r="S9" s="91"/>
    </row>
    <row r="10" spans="1:25" s="11" customFormat="1" ht="12.75" x14ac:dyDescent="0.2">
      <c r="A10" s="274" t="s">
        <v>10</v>
      </c>
      <c r="B10" s="274" t="s">
        <v>25</v>
      </c>
      <c r="C10" s="274" t="s">
        <v>11</v>
      </c>
      <c r="D10" s="274" t="s">
        <v>504</v>
      </c>
      <c r="E10" s="285" t="s">
        <v>26</v>
      </c>
      <c r="F10" s="285"/>
      <c r="G10" s="285"/>
      <c r="H10" s="285"/>
      <c r="I10" s="285"/>
      <c r="J10" s="101"/>
      <c r="K10" s="286" t="s">
        <v>468</v>
      </c>
      <c r="L10" s="287" t="s">
        <v>30</v>
      </c>
      <c r="M10" s="287"/>
      <c r="N10" s="287"/>
      <c r="O10" s="287"/>
      <c r="P10" s="287"/>
      <c r="Q10" s="271" t="s">
        <v>469</v>
      </c>
      <c r="R10" s="272"/>
      <c r="S10" s="273"/>
      <c r="U10" s="275" t="s">
        <v>27</v>
      </c>
      <c r="V10" s="276"/>
    </row>
    <row r="11" spans="1:25" ht="39.75" customHeight="1" x14ac:dyDescent="0.2">
      <c r="A11" s="274"/>
      <c r="B11" s="274"/>
      <c r="C11" s="274"/>
      <c r="D11" s="274"/>
      <c r="E11" s="100" t="s">
        <v>12</v>
      </c>
      <c r="F11" s="100" t="s">
        <v>470</v>
      </c>
      <c r="G11" s="100" t="s">
        <v>471</v>
      </c>
      <c r="H11" s="100" t="s">
        <v>472</v>
      </c>
      <c r="I11" s="100" t="s">
        <v>473</v>
      </c>
      <c r="J11" s="103" t="s">
        <v>474</v>
      </c>
      <c r="K11" s="286"/>
      <c r="L11" s="104" t="s">
        <v>12</v>
      </c>
      <c r="M11" s="100" t="s">
        <v>470</v>
      </c>
      <c r="N11" s="100" t="s">
        <v>471</v>
      </c>
      <c r="O11" s="100" t="s">
        <v>502</v>
      </c>
      <c r="P11" s="100" t="s">
        <v>473</v>
      </c>
      <c r="Q11" s="102" t="s">
        <v>17</v>
      </c>
      <c r="R11" s="102" t="s">
        <v>18</v>
      </c>
      <c r="S11" s="102" t="s">
        <v>19</v>
      </c>
      <c r="T11" s="10"/>
      <c r="U11" s="1" t="s">
        <v>29</v>
      </c>
      <c r="V11" s="1" t="s">
        <v>30</v>
      </c>
    </row>
    <row r="12" spans="1:25" ht="19.5" customHeight="1" x14ac:dyDescent="0.2">
      <c r="A12" s="100"/>
      <c r="B12" s="100"/>
      <c r="C12" s="100"/>
      <c r="D12" s="100"/>
      <c r="E12" s="100"/>
      <c r="F12" s="100"/>
      <c r="G12" s="100"/>
      <c r="H12" s="100"/>
      <c r="I12" s="100"/>
      <c r="J12" s="103"/>
      <c r="K12" s="102"/>
      <c r="L12" s="146">
        <f>L207</f>
        <v>12288206.060000001</v>
      </c>
      <c r="M12" s="146">
        <f t="shared" ref="M12:P12" si="0">M207</f>
        <v>9753118.2600000016</v>
      </c>
      <c r="N12" s="146">
        <f t="shared" si="0"/>
        <v>269109.72690099996</v>
      </c>
      <c r="O12" s="146">
        <f t="shared" si="0"/>
        <v>10022227.966901001</v>
      </c>
      <c r="P12" s="146">
        <f t="shared" si="0"/>
        <v>2265978.0930989999</v>
      </c>
      <c r="Q12" s="105">
        <f>N12/L12*100</f>
        <v>2.1899838396834301</v>
      </c>
      <c r="R12" s="105">
        <f>O12/L12*100</f>
        <v>81.559732299126182</v>
      </c>
      <c r="S12" s="105">
        <f>P12/L12*100</f>
        <v>18.440267700873825</v>
      </c>
      <c r="T12" s="10"/>
      <c r="Y12" s="67"/>
    </row>
    <row r="13" spans="1:25" customFormat="1" ht="12.75" x14ac:dyDescent="0.2">
      <c r="A13" s="93" t="s">
        <v>31</v>
      </c>
      <c r="B13" s="94"/>
      <c r="C13" s="93" t="s">
        <v>32</v>
      </c>
      <c r="D13" s="94"/>
      <c r="E13" s="94"/>
      <c r="F13" s="94"/>
      <c r="G13" s="94"/>
      <c r="H13" s="94"/>
      <c r="I13" s="94"/>
      <c r="J13" s="95" t="s">
        <v>41</v>
      </c>
      <c r="K13" s="147"/>
      <c r="L13" s="155">
        <f>L14+L16+L21</f>
        <v>55951.119999999995</v>
      </c>
      <c r="M13" s="155">
        <f t="shared" ref="M13:P13" si="1">M14+M16+M21</f>
        <v>46445.45</v>
      </c>
      <c r="N13" s="155">
        <f t="shared" si="1"/>
        <v>0</v>
      </c>
      <c r="O13" s="155">
        <f t="shared" si="1"/>
        <v>46445.45</v>
      </c>
      <c r="P13" s="163">
        <f t="shared" si="1"/>
        <v>9505.67</v>
      </c>
      <c r="Q13" s="190">
        <f t="shared" ref="Q13:Q22" si="2">N13/L13*100</f>
        <v>0</v>
      </c>
      <c r="R13" s="190">
        <f t="shared" ref="R13:R22" si="3">O13/L13*100</f>
        <v>83.010760106321385</v>
      </c>
      <c r="S13" s="191">
        <f t="shared" ref="S13:S22" si="4">P13/L13*100</f>
        <v>16.989239893678626</v>
      </c>
      <c r="T13" s="28">
        <f>L13-P13</f>
        <v>46445.45</v>
      </c>
      <c r="Y13" s="67"/>
    </row>
    <row r="14" spans="1:25" customFormat="1" ht="12.75" x14ac:dyDescent="0.2">
      <c r="A14" s="106" t="s">
        <v>33</v>
      </c>
      <c r="B14" s="107"/>
      <c r="C14" s="106" t="s">
        <v>34</v>
      </c>
      <c r="D14" s="107"/>
      <c r="E14" s="107"/>
      <c r="F14" s="107"/>
      <c r="G14" s="107"/>
      <c r="H14" s="107"/>
      <c r="I14" s="107"/>
      <c r="J14" s="108" t="s">
        <v>41</v>
      </c>
      <c r="K14" s="148"/>
      <c r="L14" s="156">
        <f>L15</f>
        <v>17424.8</v>
      </c>
      <c r="M14" s="156">
        <f t="shared" ref="M14:P14" si="5">M15</f>
        <v>17424.8</v>
      </c>
      <c r="N14" s="156">
        <f t="shared" si="5"/>
        <v>0</v>
      </c>
      <c r="O14" s="156">
        <f t="shared" si="5"/>
        <v>17424.8</v>
      </c>
      <c r="P14" s="159">
        <f t="shared" si="5"/>
        <v>0</v>
      </c>
      <c r="Q14" s="192">
        <f t="shared" si="2"/>
        <v>0</v>
      </c>
      <c r="R14" s="192">
        <f t="shared" si="3"/>
        <v>100</v>
      </c>
      <c r="S14" s="193">
        <f t="shared" si="4"/>
        <v>0</v>
      </c>
      <c r="T14" s="28">
        <f t="shared" ref="T14:T77" si="6">L14-P14</f>
        <v>17424.8</v>
      </c>
      <c r="Y14" s="67"/>
    </row>
    <row r="15" spans="1:25" customFormat="1" ht="12.75" x14ac:dyDescent="0.2">
      <c r="A15" s="71" t="s">
        <v>35</v>
      </c>
      <c r="B15" s="72" t="s">
        <v>36</v>
      </c>
      <c r="C15" s="71" t="s">
        <v>37</v>
      </c>
      <c r="D15" s="72" t="s">
        <v>38</v>
      </c>
      <c r="E15" s="144">
        <v>40</v>
      </c>
      <c r="F15" s="144">
        <v>40</v>
      </c>
      <c r="G15" s="144"/>
      <c r="H15" s="144">
        <f>F15+G15</f>
        <v>40</v>
      </c>
      <c r="I15" s="144">
        <f>ROUND(E15-H15,2)</f>
        <v>0</v>
      </c>
      <c r="J15" s="75">
        <v>356.75</v>
      </c>
      <c r="K15" s="149">
        <v>435.62</v>
      </c>
      <c r="L15" s="157">
        <f>TRUNC(E15*K15,2)</f>
        <v>17424.8</v>
      </c>
      <c r="M15" s="157">
        <f>ROUND(F15*$K15,2)</f>
        <v>17424.8</v>
      </c>
      <c r="N15" s="157">
        <f>ROUND(G15*$K15,2)</f>
        <v>0</v>
      </c>
      <c r="O15" s="157">
        <f>ROUND(H15*$K15,2)</f>
        <v>17424.8</v>
      </c>
      <c r="P15" s="157">
        <f>ROUND(I15*$K15,2)</f>
        <v>0</v>
      </c>
      <c r="Q15" s="194">
        <f t="shared" si="2"/>
        <v>0</v>
      </c>
      <c r="R15" s="194">
        <f t="shared" si="3"/>
        <v>100</v>
      </c>
      <c r="S15" s="195">
        <f t="shared" si="4"/>
        <v>0</v>
      </c>
      <c r="T15" s="28">
        <f t="shared" si="6"/>
        <v>17424.8</v>
      </c>
      <c r="Y15" s="67"/>
    </row>
    <row r="16" spans="1:25" customFormat="1" ht="12.75" x14ac:dyDescent="0.2">
      <c r="A16" s="106" t="s">
        <v>39</v>
      </c>
      <c r="B16" s="107"/>
      <c r="C16" s="106" t="s">
        <v>40</v>
      </c>
      <c r="D16" s="107"/>
      <c r="E16" s="169" t="s">
        <v>41</v>
      </c>
      <c r="F16" s="176"/>
      <c r="G16" s="176"/>
      <c r="H16" s="176"/>
      <c r="I16" s="176"/>
      <c r="J16" s="108" t="s">
        <v>41</v>
      </c>
      <c r="K16" s="148"/>
      <c r="L16" s="156">
        <f>SUM(L17:L20)</f>
        <v>30835.65</v>
      </c>
      <c r="M16" s="156">
        <f t="shared" ref="M16:P16" si="7">SUM(M17:M20)</f>
        <v>29020.65</v>
      </c>
      <c r="N16" s="156">
        <f t="shared" si="7"/>
        <v>0</v>
      </c>
      <c r="O16" s="156">
        <f>SUM(O17:O20)</f>
        <v>29020.65</v>
      </c>
      <c r="P16" s="156">
        <f t="shared" si="7"/>
        <v>1815</v>
      </c>
      <c r="Q16" s="196">
        <f t="shared" si="2"/>
        <v>0</v>
      </c>
      <c r="R16" s="196">
        <f t="shared" si="3"/>
        <v>94.113955762242725</v>
      </c>
      <c r="S16" s="193">
        <f t="shared" si="4"/>
        <v>5.8860442377572708</v>
      </c>
      <c r="T16" s="28">
        <f t="shared" si="6"/>
        <v>29020.65</v>
      </c>
      <c r="Y16" s="67"/>
    </row>
    <row r="17" spans="1:25" customFormat="1" ht="25.5" x14ac:dyDescent="0.2">
      <c r="A17" s="71" t="s">
        <v>42</v>
      </c>
      <c r="B17" s="72" t="s">
        <v>43</v>
      </c>
      <c r="C17" s="71" t="s">
        <v>44</v>
      </c>
      <c r="D17" s="72" t="s">
        <v>38</v>
      </c>
      <c r="E17" s="144">
        <v>30</v>
      </c>
      <c r="F17" s="144">
        <v>30</v>
      </c>
      <c r="G17" s="144"/>
      <c r="H17" s="144">
        <f>F17+G17</f>
        <v>30</v>
      </c>
      <c r="I17" s="144">
        <f>ROUND(E17-H17,2)</f>
        <v>0</v>
      </c>
      <c r="J17" s="75">
        <v>448.11</v>
      </c>
      <c r="K17" s="149">
        <f t="shared" ref="K17:K20" si="8">TRUNC(J17*1.2211,2)</f>
        <v>547.17999999999995</v>
      </c>
      <c r="L17" s="157">
        <f>TRUNC(E17*K17,2)</f>
        <v>16415.400000000001</v>
      </c>
      <c r="M17" s="157">
        <f>ROUND(F17*$K17,2)</f>
        <v>16415.400000000001</v>
      </c>
      <c r="N17" s="157">
        <f>ROUND(G17*$K17,2)</f>
        <v>0</v>
      </c>
      <c r="O17" s="157">
        <f>ROUND(H17*$K17,2)</f>
        <v>16415.400000000001</v>
      </c>
      <c r="P17" s="157">
        <f>ROUND(I17*$K17,2)</f>
        <v>0</v>
      </c>
      <c r="Q17" s="194">
        <f t="shared" si="2"/>
        <v>0</v>
      </c>
      <c r="R17" s="194">
        <f t="shared" si="3"/>
        <v>100</v>
      </c>
      <c r="S17" s="195">
        <f t="shared" si="4"/>
        <v>0</v>
      </c>
      <c r="T17" s="28">
        <f t="shared" si="6"/>
        <v>16415.400000000001</v>
      </c>
      <c r="Y17" s="67"/>
    </row>
    <row r="18" spans="1:25" s="63" customFormat="1" ht="25.5" x14ac:dyDescent="0.2">
      <c r="A18" s="71" t="s">
        <v>45</v>
      </c>
      <c r="B18" s="72" t="s">
        <v>46</v>
      </c>
      <c r="C18" s="71" t="s">
        <v>47</v>
      </c>
      <c r="D18" s="72" t="s">
        <v>48</v>
      </c>
      <c r="E18" s="145">
        <v>45</v>
      </c>
      <c r="F18" s="145">
        <v>45</v>
      </c>
      <c r="G18" s="145"/>
      <c r="H18" s="145">
        <f t="shared" ref="H18:H20" si="9">F18+G18</f>
        <v>45</v>
      </c>
      <c r="I18" s="145">
        <f t="shared" ref="I18:I20" si="10">ROUND(E18-H18,2)</f>
        <v>0</v>
      </c>
      <c r="J18" s="62">
        <v>180.54</v>
      </c>
      <c r="K18" s="150">
        <f t="shared" si="8"/>
        <v>220.45</v>
      </c>
      <c r="L18" s="158">
        <f>TRUNC(E18*K18,2)</f>
        <v>9920.25</v>
      </c>
      <c r="M18" s="158">
        <f t="shared" ref="M18:M20" si="11">ROUND(F18*$K18,2)</f>
        <v>9920.25</v>
      </c>
      <c r="N18" s="158">
        <f t="shared" ref="N18:N20" si="12">ROUND(G18*$K18,2)</f>
        <v>0</v>
      </c>
      <c r="O18" s="158">
        <f t="shared" ref="O18:O20" si="13">ROUND(H18*$K18,2)</f>
        <v>9920.25</v>
      </c>
      <c r="P18" s="158">
        <f t="shared" ref="P18:P22" si="14">ROUND(I18*$K18,2)</f>
        <v>0</v>
      </c>
      <c r="Q18" s="197">
        <f t="shared" si="2"/>
        <v>0</v>
      </c>
      <c r="R18" s="197">
        <f t="shared" si="3"/>
        <v>100</v>
      </c>
      <c r="S18" s="198">
        <f t="shared" si="4"/>
        <v>0</v>
      </c>
      <c r="T18" s="60">
        <f t="shared" si="6"/>
        <v>9920.25</v>
      </c>
      <c r="Y18" s="67"/>
    </row>
    <row r="19" spans="1:25" s="61" customFormat="1" ht="12.75" x14ac:dyDescent="0.2">
      <c r="A19" s="71" t="s">
        <v>49</v>
      </c>
      <c r="B19" s="72" t="s">
        <v>50</v>
      </c>
      <c r="C19" s="71" t="s">
        <v>51</v>
      </c>
      <c r="D19" s="72" t="s">
        <v>52</v>
      </c>
      <c r="E19" s="145">
        <v>500</v>
      </c>
      <c r="F19" s="145">
        <v>500</v>
      </c>
      <c r="G19" s="145"/>
      <c r="H19" s="145">
        <f t="shared" si="9"/>
        <v>500</v>
      </c>
      <c r="I19" s="145">
        <f t="shared" si="10"/>
        <v>0</v>
      </c>
      <c r="J19" s="62">
        <v>4.4000000000000004</v>
      </c>
      <c r="K19" s="150">
        <f t="shared" si="8"/>
        <v>5.37</v>
      </c>
      <c r="L19" s="158">
        <f>TRUNC(E19*K19,2)</f>
        <v>2685</v>
      </c>
      <c r="M19" s="158">
        <f t="shared" si="11"/>
        <v>2685</v>
      </c>
      <c r="N19" s="158">
        <f t="shared" si="12"/>
        <v>0</v>
      </c>
      <c r="O19" s="158">
        <f t="shared" si="13"/>
        <v>2685</v>
      </c>
      <c r="P19" s="158">
        <f t="shared" si="14"/>
        <v>0</v>
      </c>
      <c r="Q19" s="197">
        <f t="shared" si="2"/>
        <v>0</v>
      </c>
      <c r="R19" s="197">
        <f t="shared" si="3"/>
        <v>100</v>
      </c>
      <c r="S19" s="198">
        <f t="shared" si="4"/>
        <v>0</v>
      </c>
      <c r="T19" s="60">
        <f t="shared" si="6"/>
        <v>2685</v>
      </c>
      <c r="Y19" s="67"/>
    </row>
    <row r="20" spans="1:25" customFormat="1" ht="25.5" x14ac:dyDescent="0.2">
      <c r="A20" s="71" t="s">
        <v>53</v>
      </c>
      <c r="B20" s="72" t="s">
        <v>54</v>
      </c>
      <c r="C20" s="71" t="s">
        <v>55</v>
      </c>
      <c r="D20" s="72" t="s">
        <v>52</v>
      </c>
      <c r="E20" s="144">
        <v>500</v>
      </c>
      <c r="F20" s="144">
        <v>0</v>
      </c>
      <c r="G20" s="144"/>
      <c r="H20" s="144">
        <f t="shared" si="9"/>
        <v>0</v>
      </c>
      <c r="I20" s="144">
        <f t="shared" si="10"/>
        <v>500</v>
      </c>
      <c r="J20" s="75">
        <v>2.98</v>
      </c>
      <c r="K20" s="149">
        <f t="shared" si="8"/>
        <v>3.63</v>
      </c>
      <c r="L20" s="157">
        <f>TRUNC(E20*K20,2)</f>
        <v>1815</v>
      </c>
      <c r="M20" s="157">
        <f t="shared" si="11"/>
        <v>0</v>
      </c>
      <c r="N20" s="157">
        <f t="shared" si="12"/>
        <v>0</v>
      </c>
      <c r="O20" s="157">
        <f t="shared" si="13"/>
        <v>0</v>
      </c>
      <c r="P20" s="157">
        <f t="shared" si="14"/>
        <v>1815</v>
      </c>
      <c r="Q20" s="194">
        <f t="shared" si="2"/>
        <v>0</v>
      </c>
      <c r="R20" s="194">
        <f t="shared" si="3"/>
        <v>0</v>
      </c>
      <c r="S20" s="195">
        <f t="shared" si="4"/>
        <v>100</v>
      </c>
      <c r="T20" s="28">
        <f t="shared" si="6"/>
        <v>0</v>
      </c>
      <c r="Y20" s="67"/>
    </row>
    <row r="21" spans="1:25" customFormat="1" ht="12.75" x14ac:dyDescent="0.2">
      <c r="A21" s="106" t="s">
        <v>56</v>
      </c>
      <c r="B21" s="107"/>
      <c r="C21" s="106" t="s">
        <v>57</v>
      </c>
      <c r="D21" s="107"/>
      <c r="E21" s="169" t="s">
        <v>41</v>
      </c>
      <c r="F21" s="176"/>
      <c r="G21" s="176"/>
      <c r="H21" s="176"/>
      <c r="I21" s="176"/>
      <c r="J21" s="108" t="s">
        <v>41</v>
      </c>
      <c r="K21" s="148"/>
      <c r="L21" s="159">
        <f>L22</f>
        <v>7690.67</v>
      </c>
      <c r="M21" s="156">
        <f t="shared" ref="M21:P21" si="15">M22</f>
        <v>0</v>
      </c>
      <c r="N21" s="156">
        <f t="shared" si="15"/>
        <v>0</v>
      </c>
      <c r="O21" s="156">
        <f t="shared" si="15"/>
        <v>0</v>
      </c>
      <c r="P21" s="156">
        <f t="shared" si="15"/>
        <v>7690.67</v>
      </c>
      <c r="Q21" s="196">
        <f t="shared" si="2"/>
        <v>0</v>
      </c>
      <c r="R21" s="196">
        <f t="shared" si="3"/>
        <v>0</v>
      </c>
      <c r="S21" s="193">
        <f t="shared" si="4"/>
        <v>100</v>
      </c>
      <c r="T21" s="28">
        <f t="shared" si="6"/>
        <v>0</v>
      </c>
      <c r="Y21" s="67"/>
    </row>
    <row r="22" spans="1:25" customFormat="1" ht="12.75" x14ac:dyDescent="0.2">
      <c r="A22" s="71" t="s">
        <v>58</v>
      </c>
      <c r="B22" s="72" t="s">
        <v>59</v>
      </c>
      <c r="C22" s="71" t="s">
        <v>60</v>
      </c>
      <c r="D22" s="72" t="s">
        <v>48</v>
      </c>
      <c r="E22" s="144">
        <v>13</v>
      </c>
      <c r="F22" s="177">
        <v>0</v>
      </c>
      <c r="G22" s="177"/>
      <c r="H22" s="177">
        <f t="shared" ref="H22" si="16">F22+G22</f>
        <v>0</v>
      </c>
      <c r="I22" s="144">
        <f t="shared" ref="I22" si="17">ROUND(E22-H22,2)</f>
        <v>13</v>
      </c>
      <c r="J22" s="75">
        <v>484.48</v>
      </c>
      <c r="K22" s="149">
        <f>TRUNC(J22*1.2211,2)</f>
        <v>591.59</v>
      </c>
      <c r="L22" s="149">
        <f>TRUNC(E22*K22,2)</f>
        <v>7690.67</v>
      </c>
      <c r="M22" s="157">
        <f t="shared" ref="M22" si="18">ROUND(F22*$K22,2)</f>
        <v>0</v>
      </c>
      <c r="N22" s="157">
        <f t="shared" ref="N22" si="19">ROUND(G22*$K22,2)</f>
        <v>0</v>
      </c>
      <c r="O22" s="157">
        <f t="shared" ref="O22" si="20">ROUND(H22*$K22,2)</f>
        <v>0</v>
      </c>
      <c r="P22" s="157">
        <f t="shared" si="14"/>
        <v>7690.67</v>
      </c>
      <c r="Q22" s="194">
        <f t="shared" si="2"/>
        <v>0</v>
      </c>
      <c r="R22" s="194">
        <f t="shared" si="3"/>
        <v>0</v>
      </c>
      <c r="S22" s="195">
        <f t="shared" si="4"/>
        <v>100</v>
      </c>
      <c r="T22" s="28">
        <f t="shared" si="6"/>
        <v>0</v>
      </c>
      <c r="Y22" s="67"/>
    </row>
    <row r="23" spans="1:25" s="61" customFormat="1" ht="12.75" x14ac:dyDescent="0.2">
      <c r="A23" s="93" t="s">
        <v>61</v>
      </c>
      <c r="B23" s="96"/>
      <c r="C23" s="93" t="s">
        <v>62</v>
      </c>
      <c r="D23" s="96"/>
      <c r="E23" s="170" t="s">
        <v>41</v>
      </c>
      <c r="F23" s="178"/>
      <c r="G23" s="178"/>
      <c r="H23" s="178"/>
      <c r="I23" s="178"/>
      <c r="J23" s="97" t="s">
        <v>41</v>
      </c>
      <c r="K23" s="151"/>
      <c r="L23" s="160">
        <f>L24+L27+L32+L34+L40+L46</f>
        <v>160840.31</v>
      </c>
      <c r="M23" s="160">
        <f t="shared" ref="M23:P23" si="21">M24+M27+M32+M34+M40+M46</f>
        <v>160840.31</v>
      </c>
      <c r="N23" s="160">
        <f t="shared" si="21"/>
        <v>0</v>
      </c>
      <c r="O23" s="160">
        <f t="shared" si="21"/>
        <v>160840.31</v>
      </c>
      <c r="P23" s="160">
        <f t="shared" si="21"/>
        <v>0</v>
      </c>
      <c r="Q23" s="199">
        <f t="shared" ref="Q23:Q86" si="22">N23/L23*100</f>
        <v>0</v>
      </c>
      <c r="R23" s="199">
        <f t="shared" ref="R23:R86" si="23">O23/L23*100</f>
        <v>100</v>
      </c>
      <c r="S23" s="200">
        <f t="shared" ref="S23:S86" si="24">P23/L23*100</f>
        <v>0</v>
      </c>
      <c r="T23" s="60">
        <f t="shared" si="6"/>
        <v>160840.31</v>
      </c>
      <c r="Y23" s="67"/>
    </row>
    <row r="24" spans="1:25" s="61" customFormat="1" ht="12.75" x14ac:dyDescent="0.2">
      <c r="A24" s="106" t="s">
        <v>63</v>
      </c>
      <c r="B24" s="109"/>
      <c r="C24" s="106" t="s">
        <v>64</v>
      </c>
      <c r="D24" s="109"/>
      <c r="E24" s="171" t="s">
        <v>41</v>
      </c>
      <c r="F24" s="179"/>
      <c r="G24" s="179"/>
      <c r="H24" s="179"/>
      <c r="I24" s="179"/>
      <c r="J24" s="110" t="s">
        <v>41</v>
      </c>
      <c r="K24" s="152"/>
      <c r="L24" s="161">
        <f>L25+L26</f>
        <v>19795</v>
      </c>
      <c r="M24" s="161">
        <f t="shared" ref="M24:P24" si="25">M25+M26</f>
        <v>19795</v>
      </c>
      <c r="N24" s="161">
        <f t="shared" si="25"/>
        <v>0</v>
      </c>
      <c r="O24" s="161">
        <f t="shared" si="25"/>
        <v>19795</v>
      </c>
      <c r="P24" s="161">
        <f t="shared" si="25"/>
        <v>0</v>
      </c>
      <c r="Q24" s="201">
        <f t="shared" si="22"/>
        <v>0</v>
      </c>
      <c r="R24" s="201">
        <f t="shared" si="23"/>
        <v>100</v>
      </c>
      <c r="S24" s="202">
        <f t="shared" si="24"/>
        <v>0</v>
      </c>
      <c r="T24" s="60">
        <f t="shared" si="6"/>
        <v>19795</v>
      </c>
      <c r="Y24" s="67"/>
    </row>
    <row r="25" spans="1:25" s="61" customFormat="1" ht="25.5" x14ac:dyDescent="0.2">
      <c r="A25" s="71" t="s">
        <v>65</v>
      </c>
      <c r="B25" s="72" t="s">
        <v>66</v>
      </c>
      <c r="C25" s="71" t="s">
        <v>67</v>
      </c>
      <c r="D25" s="72" t="s">
        <v>38</v>
      </c>
      <c r="E25" s="145">
        <v>5000</v>
      </c>
      <c r="F25" s="180">
        <v>5000</v>
      </c>
      <c r="G25" s="145"/>
      <c r="H25" s="180">
        <f t="shared" ref="H25" si="26">F25+G25</f>
        <v>5000</v>
      </c>
      <c r="I25" s="145">
        <f t="shared" ref="I25" si="27">ROUND(E25-H25,2)</f>
        <v>0</v>
      </c>
      <c r="J25" s="62">
        <v>3.07</v>
      </c>
      <c r="K25" s="150">
        <f t="shared" ref="K25:K26" si="28">TRUNC(J25*1.2211,2)</f>
        <v>3.74</v>
      </c>
      <c r="L25" s="150">
        <f>TRUNC(E25*K25,2)</f>
        <v>18700</v>
      </c>
      <c r="M25" s="158">
        <f t="shared" ref="M25" si="29">ROUND(F25*$K25,2)</f>
        <v>18700</v>
      </c>
      <c r="N25" s="158">
        <f t="shared" ref="N25" si="30">ROUND(G25*$K25,2)</f>
        <v>0</v>
      </c>
      <c r="O25" s="158">
        <f t="shared" ref="O25" si="31">ROUND(H25*$K25,2)</f>
        <v>18700</v>
      </c>
      <c r="P25" s="158">
        <f t="shared" ref="P25:P48" si="32">ROUND(I25*$K25,2)</f>
        <v>0</v>
      </c>
      <c r="Q25" s="197">
        <f t="shared" si="22"/>
        <v>0</v>
      </c>
      <c r="R25" s="197">
        <f t="shared" si="23"/>
        <v>100</v>
      </c>
      <c r="S25" s="198">
        <f t="shared" si="24"/>
        <v>0</v>
      </c>
      <c r="T25" s="60">
        <f t="shared" si="6"/>
        <v>18700</v>
      </c>
      <c r="V25" s="61">
        <f>(E25/180)*41</f>
        <v>1138.8888888888889</v>
      </c>
      <c r="Y25" s="67"/>
    </row>
    <row r="26" spans="1:25" s="61" customFormat="1" ht="25.5" x14ac:dyDescent="0.2">
      <c r="A26" s="71" t="s">
        <v>68</v>
      </c>
      <c r="B26" s="72" t="s">
        <v>69</v>
      </c>
      <c r="C26" s="71" t="s">
        <v>70</v>
      </c>
      <c r="D26" s="72" t="s">
        <v>71</v>
      </c>
      <c r="E26" s="145">
        <v>500</v>
      </c>
      <c r="F26" s="180">
        <v>500</v>
      </c>
      <c r="G26" s="145"/>
      <c r="H26" s="180">
        <f t="shared" ref="H26" si="33">F26+G26</f>
        <v>500</v>
      </c>
      <c r="I26" s="145">
        <f t="shared" ref="I26" si="34">ROUND(E26-H26,2)</f>
        <v>0</v>
      </c>
      <c r="J26" s="62">
        <v>1.8</v>
      </c>
      <c r="K26" s="150">
        <f t="shared" si="28"/>
        <v>2.19</v>
      </c>
      <c r="L26" s="150">
        <f>TRUNC(E26*K26,2)</f>
        <v>1095</v>
      </c>
      <c r="M26" s="158">
        <f t="shared" ref="M26" si="35">ROUND(F26*$K26,2)</f>
        <v>1095</v>
      </c>
      <c r="N26" s="158">
        <f t="shared" ref="N26" si="36">ROUND(G26*$K26,2)</f>
        <v>0</v>
      </c>
      <c r="O26" s="158">
        <f t="shared" ref="O26" si="37">ROUND(H26*$K26,2)</f>
        <v>1095</v>
      </c>
      <c r="P26" s="158">
        <f t="shared" si="32"/>
        <v>0</v>
      </c>
      <c r="Q26" s="197">
        <f t="shared" si="22"/>
        <v>0</v>
      </c>
      <c r="R26" s="197">
        <f t="shared" si="23"/>
        <v>100</v>
      </c>
      <c r="S26" s="198">
        <f t="shared" si="24"/>
        <v>0</v>
      </c>
      <c r="T26" s="60">
        <f t="shared" si="6"/>
        <v>1095</v>
      </c>
      <c r="V26" s="61">
        <f>(E26/180)*41</f>
        <v>113.88888888888889</v>
      </c>
      <c r="Y26" s="67"/>
    </row>
    <row r="27" spans="1:25" s="61" customFormat="1" ht="12.75" x14ac:dyDescent="0.2">
      <c r="A27" s="106" t="s">
        <v>72</v>
      </c>
      <c r="B27" s="109"/>
      <c r="C27" s="106" t="s">
        <v>73</v>
      </c>
      <c r="D27" s="109"/>
      <c r="E27" s="171" t="s">
        <v>41</v>
      </c>
      <c r="F27" s="179"/>
      <c r="G27" s="179"/>
      <c r="H27" s="179"/>
      <c r="I27" s="179"/>
      <c r="J27" s="110" t="s">
        <v>41</v>
      </c>
      <c r="K27" s="152"/>
      <c r="L27" s="161">
        <f>SUM(L28:L31)</f>
        <v>2275.1600000000003</v>
      </c>
      <c r="M27" s="161">
        <f t="shared" ref="M27:P27" si="38">SUM(M28:M31)</f>
        <v>2275.1600000000003</v>
      </c>
      <c r="N27" s="161">
        <f t="shared" si="38"/>
        <v>0</v>
      </c>
      <c r="O27" s="161">
        <f t="shared" si="38"/>
        <v>2275.1600000000003</v>
      </c>
      <c r="P27" s="161">
        <f t="shared" si="38"/>
        <v>0</v>
      </c>
      <c r="Q27" s="201">
        <f t="shared" si="22"/>
        <v>0</v>
      </c>
      <c r="R27" s="201">
        <f t="shared" si="23"/>
        <v>100</v>
      </c>
      <c r="S27" s="202">
        <f t="shared" si="24"/>
        <v>0</v>
      </c>
      <c r="T27" s="60">
        <f t="shared" si="6"/>
        <v>2275.1600000000003</v>
      </c>
      <c r="V27" s="61" t="e">
        <f t="shared" ref="V27:V48" si="39">(E27/180)*41</f>
        <v>#VALUE!</v>
      </c>
      <c r="Y27" s="67"/>
    </row>
    <row r="28" spans="1:25" s="61" customFormat="1" ht="25.5" x14ac:dyDescent="0.2">
      <c r="A28" s="71" t="s">
        <v>74</v>
      </c>
      <c r="B28" s="72" t="s">
        <v>75</v>
      </c>
      <c r="C28" s="71" t="s">
        <v>76</v>
      </c>
      <c r="D28" s="72" t="s">
        <v>71</v>
      </c>
      <c r="E28" s="145">
        <v>90</v>
      </c>
      <c r="F28" s="180">
        <v>90</v>
      </c>
      <c r="G28" s="145"/>
      <c r="H28" s="180">
        <f t="shared" ref="H28" si="40">F28+G28</f>
        <v>90</v>
      </c>
      <c r="I28" s="145">
        <f t="shared" ref="I28" si="41">ROUND(E28-H28,2)</f>
        <v>0</v>
      </c>
      <c r="J28" s="62">
        <v>6.65</v>
      </c>
      <c r="K28" s="150">
        <f t="shared" ref="K28:K31" si="42">TRUNC(J28*1.2211,2)</f>
        <v>8.1199999999999992</v>
      </c>
      <c r="L28" s="150">
        <f>TRUNC(E28*K28,2)</f>
        <v>730.8</v>
      </c>
      <c r="M28" s="158">
        <f t="shared" ref="M28" si="43">ROUND(F28*$K28,2)</f>
        <v>730.8</v>
      </c>
      <c r="N28" s="158">
        <f t="shared" ref="N28" si="44">ROUND(G28*$K28,2)</f>
        <v>0</v>
      </c>
      <c r="O28" s="158">
        <f t="shared" ref="O28" si="45">ROUND(H28*$K28,2)</f>
        <v>730.8</v>
      </c>
      <c r="P28" s="158">
        <f t="shared" si="32"/>
        <v>0</v>
      </c>
      <c r="Q28" s="197">
        <f t="shared" si="22"/>
        <v>0</v>
      </c>
      <c r="R28" s="197">
        <f t="shared" si="23"/>
        <v>100</v>
      </c>
      <c r="S28" s="198">
        <f t="shared" si="24"/>
        <v>0</v>
      </c>
      <c r="T28" s="60">
        <f t="shared" si="6"/>
        <v>730.8</v>
      </c>
      <c r="V28" s="61">
        <f t="shared" si="39"/>
        <v>20.5</v>
      </c>
      <c r="Y28" s="67"/>
    </row>
    <row r="29" spans="1:25" s="61" customFormat="1" ht="25.5" x14ac:dyDescent="0.2">
      <c r="A29" s="71" t="s">
        <v>77</v>
      </c>
      <c r="B29" s="72">
        <v>5914359</v>
      </c>
      <c r="C29" s="71" t="s">
        <v>78</v>
      </c>
      <c r="D29" s="72" t="s">
        <v>79</v>
      </c>
      <c r="E29" s="145">
        <v>608</v>
      </c>
      <c r="F29" s="180">
        <v>608</v>
      </c>
      <c r="G29" s="145"/>
      <c r="H29" s="180">
        <f t="shared" ref="H29:H31" si="46">F29+G29</f>
        <v>608</v>
      </c>
      <c r="I29" s="145">
        <f t="shared" ref="I29:I31" si="47">ROUND(E29-H29,2)</f>
        <v>0</v>
      </c>
      <c r="J29" s="62">
        <v>1.24</v>
      </c>
      <c r="K29" s="150">
        <f t="shared" si="42"/>
        <v>1.51</v>
      </c>
      <c r="L29" s="150">
        <f>TRUNC(E29*K29,2)</f>
        <v>918.08</v>
      </c>
      <c r="M29" s="158">
        <f t="shared" ref="M29:M31" si="48">ROUND(F29*$K29,2)</f>
        <v>918.08</v>
      </c>
      <c r="N29" s="158">
        <f t="shared" ref="N29:N31" si="49">ROUND(G29*$K29,2)</f>
        <v>0</v>
      </c>
      <c r="O29" s="158">
        <f t="shared" ref="O29:O31" si="50">ROUND(H29*$K29,2)</f>
        <v>918.08</v>
      </c>
      <c r="P29" s="158">
        <f t="shared" si="32"/>
        <v>0</v>
      </c>
      <c r="Q29" s="197">
        <f t="shared" si="22"/>
        <v>0</v>
      </c>
      <c r="R29" s="197">
        <f t="shared" si="23"/>
        <v>100</v>
      </c>
      <c r="S29" s="198">
        <f t="shared" si="24"/>
        <v>0</v>
      </c>
      <c r="T29" s="60">
        <f t="shared" si="6"/>
        <v>918.08</v>
      </c>
      <c r="V29" s="61">
        <f t="shared" si="39"/>
        <v>138.48888888888888</v>
      </c>
      <c r="Y29" s="67"/>
    </row>
    <row r="30" spans="1:25" s="61" customFormat="1" ht="25.5" x14ac:dyDescent="0.2">
      <c r="A30" s="71" t="s">
        <v>80</v>
      </c>
      <c r="B30" s="72"/>
      <c r="C30" s="71" t="s">
        <v>81</v>
      </c>
      <c r="D30" s="72" t="s">
        <v>79</v>
      </c>
      <c r="E30" s="145">
        <v>426</v>
      </c>
      <c r="F30" s="180">
        <v>426</v>
      </c>
      <c r="G30" s="145"/>
      <c r="H30" s="180">
        <f t="shared" si="46"/>
        <v>426</v>
      </c>
      <c r="I30" s="145">
        <f t="shared" si="47"/>
        <v>0</v>
      </c>
      <c r="J30" s="62">
        <v>0.81</v>
      </c>
      <c r="K30" s="150">
        <f t="shared" si="42"/>
        <v>0.98</v>
      </c>
      <c r="L30" s="150">
        <f>TRUNC(E30*K30,2)</f>
        <v>417.48</v>
      </c>
      <c r="M30" s="158">
        <f t="shared" si="48"/>
        <v>417.48</v>
      </c>
      <c r="N30" s="158">
        <f t="shared" si="49"/>
        <v>0</v>
      </c>
      <c r="O30" s="158">
        <f t="shared" si="50"/>
        <v>417.48</v>
      </c>
      <c r="P30" s="158">
        <f t="shared" si="32"/>
        <v>0</v>
      </c>
      <c r="Q30" s="197">
        <f t="shared" si="22"/>
        <v>0</v>
      </c>
      <c r="R30" s="197">
        <f t="shared" si="23"/>
        <v>100</v>
      </c>
      <c r="S30" s="198">
        <f t="shared" si="24"/>
        <v>0</v>
      </c>
      <c r="T30" s="60">
        <f t="shared" si="6"/>
        <v>417.48</v>
      </c>
      <c r="V30" s="61">
        <f t="shared" si="39"/>
        <v>97.033333333333331</v>
      </c>
      <c r="Y30" s="67"/>
    </row>
    <row r="31" spans="1:25" s="61" customFormat="1" ht="12.75" x14ac:dyDescent="0.2">
      <c r="A31" s="71" t="s">
        <v>82</v>
      </c>
      <c r="B31" s="72" t="s">
        <v>83</v>
      </c>
      <c r="C31" s="71" t="s">
        <v>84</v>
      </c>
      <c r="D31" s="72" t="s">
        <v>71</v>
      </c>
      <c r="E31" s="145">
        <v>72</v>
      </c>
      <c r="F31" s="180">
        <v>72</v>
      </c>
      <c r="G31" s="145"/>
      <c r="H31" s="180">
        <f t="shared" si="46"/>
        <v>72</v>
      </c>
      <c r="I31" s="145">
        <f t="shared" si="47"/>
        <v>0</v>
      </c>
      <c r="J31" s="62">
        <v>2.38</v>
      </c>
      <c r="K31" s="150">
        <f t="shared" si="42"/>
        <v>2.9</v>
      </c>
      <c r="L31" s="150">
        <f>TRUNC(E31*K31,2)</f>
        <v>208.8</v>
      </c>
      <c r="M31" s="158">
        <f t="shared" si="48"/>
        <v>208.8</v>
      </c>
      <c r="N31" s="158">
        <f t="shared" si="49"/>
        <v>0</v>
      </c>
      <c r="O31" s="158">
        <f t="shared" si="50"/>
        <v>208.8</v>
      </c>
      <c r="P31" s="158">
        <f t="shared" si="32"/>
        <v>0</v>
      </c>
      <c r="Q31" s="197">
        <f t="shared" si="22"/>
        <v>0</v>
      </c>
      <c r="R31" s="197">
        <f t="shared" si="23"/>
        <v>100</v>
      </c>
      <c r="S31" s="198">
        <f t="shared" si="24"/>
        <v>0</v>
      </c>
      <c r="T31" s="60">
        <f t="shared" si="6"/>
        <v>208.8</v>
      </c>
      <c r="V31" s="61">
        <f t="shared" si="39"/>
        <v>16.400000000000002</v>
      </c>
      <c r="Y31" s="67"/>
    </row>
    <row r="32" spans="1:25" s="61" customFormat="1" ht="12.75" x14ac:dyDescent="0.2">
      <c r="A32" s="106" t="s">
        <v>85</v>
      </c>
      <c r="B32" s="109"/>
      <c r="C32" s="106" t="s">
        <v>86</v>
      </c>
      <c r="D32" s="109"/>
      <c r="E32" s="171" t="s">
        <v>41</v>
      </c>
      <c r="F32" s="179"/>
      <c r="G32" s="179"/>
      <c r="H32" s="179"/>
      <c r="I32" s="179"/>
      <c r="J32" s="110" t="s">
        <v>41</v>
      </c>
      <c r="K32" s="152"/>
      <c r="L32" s="162">
        <f>L33</f>
        <v>48696</v>
      </c>
      <c r="M32" s="161">
        <f t="shared" ref="M32:P32" si="51">M33</f>
        <v>48696</v>
      </c>
      <c r="N32" s="161">
        <f t="shared" si="51"/>
        <v>0</v>
      </c>
      <c r="O32" s="161">
        <f t="shared" si="51"/>
        <v>48696</v>
      </c>
      <c r="P32" s="161">
        <f t="shared" si="51"/>
        <v>0</v>
      </c>
      <c r="Q32" s="201">
        <f t="shared" si="22"/>
        <v>0</v>
      </c>
      <c r="R32" s="201">
        <f t="shared" si="23"/>
        <v>100</v>
      </c>
      <c r="S32" s="202">
        <f t="shared" si="24"/>
        <v>0</v>
      </c>
      <c r="T32" s="60">
        <f t="shared" si="6"/>
        <v>48696</v>
      </c>
      <c r="V32" s="61" t="e">
        <f t="shared" si="39"/>
        <v>#VALUE!</v>
      </c>
      <c r="Y32" s="67"/>
    </row>
    <row r="33" spans="1:25" s="61" customFormat="1" ht="12.75" x14ac:dyDescent="0.2">
      <c r="A33" s="71" t="s">
        <v>87</v>
      </c>
      <c r="B33" s="72" t="s">
        <v>88</v>
      </c>
      <c r="C33" s="71" t="s">
        <v>89</v>
      </c>
      <c r="D33" s="72" t="s">
        <v>38</v>
      </c>
      <c r="E33" s="145">
        <v>600</v>
      </c>
      <c r="F33" s="180">
        <v>600</v>
      </c>
      <c r="G33" s="145"/>
      <c r="H33" s="180">
        <f t="shared" ref="H33" si="52">F33+G33</f>
        <v>600</v>
      </c>
      <c r="I33" s="145">
        <f t="shared" ref="I33" si="53">ROUND(E33-H33,2)</f>
        <v>0</v>
      </c>
      <c r="J33" s="62">
        <v>66.47</v>
      </c>
      <c r="K33" s="150">
        <f>TRUNC(J33*1.2211,2)</f>
        <v>81.16</v>
      </c>
      <c r="L33" s="150">
        <f>TRUNC(E33*K33,2)</f>
        <v>48696</v>
      </c>
      <c r="M33" s="158">
        <f t="shared" ref="M33" si="54">ROUND(F33*$K33,2)</f>
        <v>48696</v>
      </c>
      <c r="N33" s="158">
        <f t="shared" ref="N33" si="55">ROUND(G33*$K33,2)</f>
        <v>0</v>
      </c>
      <c r="O33" s="158">
        <f t="shared" ref="O33" si="56">ROUND(H33*$K33,2)</f>
        <v>48696</v>
      </c>
      <c r="P33" s="158">
        <f t="shared" si="32"/>
        <v>0</v>
      </c>
      <c r="Q33" s="197">
        <f t="shared" si="22"/>
        <v>0</v>
      </c>
      <c r="R33" s="197">
        <f t="shared" si="23"/>
        <v>100</v>
      </c>
      <c r="S33" s="198">
        <f t="shared" si="24"/>
        <v>0</v>
      </c>
      <c r="T33" s="60">
        <f t="shared" si="6"/>
        <v>48696</v>
      </c>
      <c r="V33" s="61">
        <f t="shared" si="39"/>
        <v>136.66666666666669</v>
      </c>
      <c r="Y33" s="67"/>
    </row>
    <row r="34" spans="1:25" s="61" customFormat="1" ht="12.75" x14ac:dyDescent="0.2">
      <c r="A34" s="106" t="s">
        <v>90</v>
      </c>
      <c r="B34" s="109"/>
      <c r="C34" s="106" t="s">
        <v>91</v>
      </c>
      <c r="D34" s="109"/>
      <c r="E34" s="171" t="s">
        <v>41</v>
      </c>
      <c r="F34" s="179"/>
      <c r="G34" s="179"/>
      <c r="H34" s="179"/>
      <c r="I34" s="179"/>
      <c r="J34" s="110" t="s">
        <v>41</v>
      </c>
      <c r="K34" s="152"/>
      <c r="L34" s="162">
        <f>SUM(L35:L39)</f>
        <v>51935.06</v>
      </c>
      <c r="M34" s="162">
        <f t="shared" ref="M34:P34" si="57">SUM(M35:M39)</f>
        <v>51935.06</v>
      </c>
      <c r="N34" s="162">
        <f t="shared" si="57"/>
        <v>0</v>
      </c>
      <c r="O34" s="162">
        <f t="shared" si="57"/>
        <v>51935.06</v>
      </c>
      <c r="P34" s="162">
        <f t="shared" si="57"/>
        <v>0</v>
      </c>
      <c r="Q34" s="203">
        <f t="shared" si="22"/>
        <v>0</v>
      </c>
      <c r="R34" s="203">
        <f t="shared" si="23"/>
        <v>100</v>
      </c>
      <c r="S34" s="202">
        <f t="shared" si="24"/>
        <v>0</v>
      </c>
      <c r="T34" s="60">
        <f t="shared" si="6"/>
        <v>51935.06</v>
      </c>
      <c r="V34" s="61" t="e">
        <f t="shared" si="39"/>
        <v>#VALUE!</v>
      </c>
      <c r="Y34" s="67"/>
    </row>
    <row r="35" spans="1:25" s="61" customFormat="1" ht="12.75" x14ac:dyDescent="0.2">
      <c r="A35" s="71" t="s">
        <v>92</v>
      </c>
      <c r="B35" s="72" t="s">
        <v>93</v>
      </c>
      <c r="C35" s="71" t="s">
        <v>94</v>
      </c>
      <c r="D35" s="72" t="s">
        <v>48</v>
      </c>
      <c r="E35" s="145">
        <v>1</v>
      </c>
      <c r="F35" s="180">
        <v>1</v>
      </c>
      <c r="G35" s="145"/>
      <c r="H35" s="180">
        <f t="shared" ref="H35" si="58">F35+G35</f>
        <v>1</v>
      </c>
      <c r="I35" s="145">
        <f t="shared" ref="I35" si="59">ROUND(E35-H35,2)</f>
        <v>0</v>
      </c>
      <c r="J35" s="62">
        <v>10595.85</v>
      </c>
      <c r="K35" s="150">
        <f t="shared" ref="K35:K39" si="60">TRUNC(J35*1.2211,2)</f>
        <v>12938.59</v>
      </c>
      <c r="L35" s="150">
        <f>TRUNC(E35*K35,2)</f>
        <v>12938.59</v>
      </c>
      <c r="M35" s="158">
        <f t="shared" ref="M35" si="61">ROUND(F35*$K35,2)</f>
        <v>12938.59</v>
      </c>
      <c r="N35" s="158">
        <f t="shared" ref="N35" si="62">ROUND(G35*$K35,2)</f>
        <v>0</v>
      </c>
      <c r="O35" s="158">
        <f t="shared" ref="O35" si="63">ROUND(H35*$K35,2)</f>
        <v>12938.59</v>
      </c>
      <c r="P35" s="158">
        <f t="shared" si="32"/>
        <v>0</v>
      </c>
      <c r="Q35" s="197">
        <f t="shared" si="22"/>
        <v>0</v>
      </c>
      <c r="R35" s="197">
        <f t="shared" si="23"/>
        <v>100</v>
      </c>
      <c r="S35" s="198">
        <f t="shared" si="24"/>
        <v>0</v>
      </c>
      <c r="T35" s="60">
        <f t="shared" si="6"/>
        <v>12938.59</v>
      </c>
      <c r="V35" s="61">
        <f t="shared" si="39"/>
        <v>0.22777777777777777</v>
      </c>
      <c r="Y35" s="67"/>
    </row>
    <row r="36" spans="1:25" s="61" customFormat="1" ht="25.5" x14ac:dyDescent="0.2">
      <c r="A36" s="71" t="s">
        <v>95</v>
      </c>
      <c r="B36" s="72" t="s">
        <v>96</v>
      </c>
      <c r="C36" s="71" t="s">
        <v>97</v>
      </c>
      <c r="D36" s="72" t="s">
        <v>48</v>
      </c>
      <c r="E36" s="145">
        <v>1</v>
      </c>
      <c r="F36" s="180">
        <v>1</v>
      </c>
      <c r="G36" s="145"/>
      <c r="H36" s="180">
        <f t="shared" ref="H36:H39" si="64">F36+G36</f>
        <v>1</v>
      </c>
      <c r="I36" s="145">
        <f t="shared" ref="I36:I39" si="65">ROUND(E36-H36,2)</f>
        <v>0</v>
      </c>
      <c r="J36" s="62">
        <v>6021.84</v>
      </c>
      <c r="K36" s="150">
        <f t="shared" si="60"/>
        <v>7353.26</v>
      </c>
      <c r="L36" s="150">
        <f>TRUNC(E36*K36,2)</f>
        <v>7353.26</v>
      </c>
      <c r="M36" s="158">
        <f t="shared" ref="M36:M39" si="66">ROUND(F36*$K36,2)</f>
        <v>7353.26</v>
      </c>
      <c r="N36" s="158">
        <f t="shared" ref="N36:N39" si="67">ROUND(G36*$K36,2)</f>
        <v>0</v>
      </c>
      <c r="O36" s="158">
        <f t="shared" ref="O36:O39" si="68">ROUND(H36*$K36,2)</f>
        <v>7353.26</v>
      </c>
      <c r="P36" s="158">
        <f t="shared" si="32"/>
        <v>0</v>
      </c>
      <c r="Q36" s="197">
        <f t="shared" si="22"/>
        <v>0</v>
      </c>
      <c r="R36" s="197">
        <f t="shared" si="23"/>
        <v>100</v>
      </c>
      <c r="S36" s="198">
        <f t="shared" si="24"/>
        <v>0</v>
      </c>
      <c r="T36" s="60">
        <f t="shared" si="6"/>
        <v>7353.26</v>
      </c>
      <c r="V36" s="61">
        <f t="shared" si="39"/>
        <v>0.22777777777777777</v>
      </c>
      <c r="Y36" s="67"/>
    </row>
    <row r="37" spans="1:25" s="61" customFormat="1" ht="25.5" x14ac:dyDescent="0.2">
      <c r="A37" s="71" t="s">
        <v>98</v>
      </c>
      <c r="B37" s="72" t="s">
        <v>99</v>
      </c>
      <c r="C37" s="71" t="s">
        <v>100</v>
      </c>
      <c r="D37" s="72" t="s">
        <v>38</v>
      </c>
      <c r="E37" s="145">
        <v>85</v>
      </c>
      <c r="F37" s="180">
        <v>85</v>
      </c>
      <c r="G37" s="145"/>
      <c r="H37" s="180">
        <f t="shared" si="64"/>
        <v>85</v>
      </c>
      <c r="I37" s="145">
        <f t="shared" si="65"/>
        <v>0</v>
      </c>
      <c r="J37" s="62">
        <v>91.74</v>
      </c>
      <c r="K37" s="150">
        <f t="shared" si="60"/>
        <v>112.02</v>
      </c>
      <c r="L37" s="150">
        <f>TRUNC(E37*K37,2)</f>
        <v>9521.7000000000007</v>
      </c>
      <c r="M37" s="158">
        <f t="shared" si="66"/>
        <v>9521.7000000000007</v>
      </c>
      <c r="N37" s="158">
        <f t="shared" si="67"/>
        <v>0</v>
      </c>
      <c r="O37" s="158">
        <f t="shared" si="68"/>
        <v>9521.7000000000007</v>
      </c>
      <c r="P37" s="158">
        <f t="shared" si="32"/>
        <v>0</v>
      </c>
      <c r="Q37" s="197">
        <f t="shared" si="22"/>
        <v>0</v>
      </c>
      <c r="R37" s="197">
        <f t="shared" si="23"/>
        <v>100</v>
      </c>
      <c r="S37" s="198">
        <f t="shared" si="24"/>
        <v>0</v>
      </c>
      <c r="T37" s="60">
        <f t="shared" si="6"/>
        <v>9521.7000000000007</v>
      </c>
      <c r="V37" s="61">
        <f t="shared" si="39"/>
        <v>19.361111111111111</v>
      </c>
      <c r="Y37" s="67"/>
    </row>
    <row r="38" spans="1:25" s="61" customFormat="1" ht="25.5" x14ac:dyDescent="0.2">
      <c r="A38" s="71" t="s">
        <v>101</v>
      </c>
      <c r="B38" s="72" t="s">
        <v>102</v>
      </c>
      <c r="C38" s="71" t="s">
        <v>103</v>
      </c>
      <c r="D38" s="72" t="s">
        <v>48</v>
      </c>
      <c r="E38" s="145">
        <v>1</v>
      </c>
      <c r="F38" s="180">
        <v>1</v>
      </c>
      <c r="G38" s="145"/>
      <c r="H38" s="180">
        <f t="shared" si="64"/>
        <v>1</v>
      </c>
      <c r="I38" s="145">
        <f t="shared" si="65"/>
        <v>0</v>
      </c>
      <c r="J38" s="62">
        <v>8608.94</v>
      </c>
      <c r="K38" s="150">
        <f t="shared" si="60"/>
        <v>10512.37</v>
      </c>
      <c r="L38" s="150">
        <f>TRUNC(E38*K38,2)</f>
        <v>10512.37</v>
      </c>
      <c r="M38" s="158">
        <f t="shared" si="66"/>
        <v>10512.37</v>
      </c>
      <c r="N38" s="158">
        <f t="shared" si="67"/>
        <v>0</v>
      </c>
      <c r="O38" s="158">
        <f t="shared" si="68"/>
        <v>10512.37</v>
      </c>
      <c r="P38" s="158">
        <f t="shared" si="32"/>
        <v>0</v>
      </c>
      <c r="Q38" s="197">
        <f t="shared" si="22"/>
        <v>0</v>
      </c>
      <c r="R38" s="197">
        <f t="shared" si="23"/>
        <v>100</v>
      </c>
      <c r="S38" s="198">
        <f t="shared" si="24"/>
        <v>0</v>
      </c>
      <c r="T38" s="60">
        <f t="shared" si="6"/>
        <v>10512.37</v>
      </c>
      <c r="V38" s="61">
        <f t="shared" si="39"/>
        <v>0.22777777777777777</v>
      </c>
      <c r="Y38" s="67"/>
    </row>
    <row r="39" spans="1:25" s="61" customFormat="1" ht="25.5" x14ac:dyDescent="0.2">
      <c r="A39" s="71" t="s">
        <v>104</v>
      </c>
      <c r="B39" s="72" t="s">
        <v>105</v>
      </c>
      <c r="C39" s="71" t="s">
        <v>106</v>
      </c>
      <c r="D39" s="72" t="s">
        <v>48</v>
      </c>
      <c r="E39" s="145">
        <v>1</v>
      </c>
      <c r="F39" s="180">
        <v>1</v>
      </c>
      <c r="G39" s="145"/>
      <c r="H39" s="180">
        <f t="shared" si="64"/>
        <v>1</v>
      </c>
      <c r="I39" s="145">
        <f t="shared" si="65"/>
        <v>0</v>
      </c>
      <c r="J39" s="62">
        <v>9507.1200000000008</v>
      </c>
      <c r="K39" s="150">
        <f t="shared" si="60"/>
        <v>11609.14</v>
      </c>
      <c r="L39" s="150">
        <f>TRUNC(E39*K39,2)</f>
        <v>11609.14</v>
      </c>
      <c r="M39" s="158">
        <f t="shared" si="66"/>
        <v>11609.14</v>
      </c>
      <c r="N39" s="158">
        <f t="shared" si="67"/>
        <v>0</v>
      </c>
      <c r="O39" s="158">
        <f t="shared" si="68"/>
        <v>11609.14</v>
      </c>
      <c r="P39" s="158">
        <f t="shared" si="32"/>
        <v>0</v>
      </c>
      <c r="Q39" s="197">
        <f t="shared" si="22"/>
        <v>0</v>
      </c>
      <c r="R39" s="197">
        <f t="shared" si="23"/>
        <v>100</v>
      </c>
      <c r="S39" s="198">
        <f t="shared" si="24"/>
        <v>0</v>
      </c>
      <c r="T39" s="60">
        <f t="shared" si="6"/>
        <v>11609.14</v>
      </c>
      <c r="V39" s="61">
        <f t="shared" si="39"/>
        <v>0.22777777777777777</v>
      </c>
      <c r="Y39" s="67"/>
    </row>
    <row r="40" spans="1:25" s="61" customFormat="1" ht="12.75" x14ac:dyDescent="0.2">
      <c r="A40" s="106" t="s">
        <v>107</v>
      </c>
      <c r="B40" s="109"/>
      <c r="C40" s="106" t="s">
        <v>108</v>
      </c>
      <c r="D40" s="109"/>
      <c r="E40" s="171" t="s">
        <v>41</v>
      </c>
      <c r="F40" s="179"/>
      <c r="G40" s="179"/>
      <c r="H40" s="179"/>
      <c r="I40" s="179"/>
      <c r="J40" s="110" t="s">
        <v>41</v>
      </c>
      <c r="K40" s="152"/>
      <c r="L40" s="162">
        <f>SUM(L41:L45)</f>
        <v>26219.089999999997</v>
      </c>
      <c r="M40" s="161">
        <f t="shared" ref="M40:P40" si="69">SUM(M41:M45)</f>
        <v>26219.089999999997</v>
      </c>
      <c r="N40" s="161">
        <f t="shared" si="69"/>
        <v>0</v>
      </c>
      <c r="O40" s="161">
        <f t="shared" si="69"/>
        <v>26219.089999999997</v>
      </c>
      <c r="P40" s="161">
        <f t="shared" si="69"/>
        <v>0</v>
      </c>
      <c r="Q40" s="201">
        <f t="shared" si="22"/>
        <v>0</v>
      </c>
      <c r="R40" s="201">
        <f t="shared" si="23"/>
        <v>100</v>
      </c>
      <c r="S40" s="202">
        <f t="shared" si="24"/>
        <v>0</v>
      </c>
      <c r="T40" s="60">
        <f t="shared" si="6"/>
        <v>26219.089999999997</v>
      </c>
      <c r="V40" s="61" t="e">
        <f t="shared" si="39"/>
        <v>#VALUE!</v>
      </c>
      <c r="Y40" s="67"/>
    </row>
    <row r="41" spans="1:25" s="61" customFormat="1" ht="25.5" x14ac:dyDescent="0.2">
      <c r="A41" s="71" t="s">
        <v>109</v>
      </c>
      <c r="B41" s="72" t="s">
        <v>110</v>
      </c>
      <c r="C41" s="31" t="s">
        <v>111</v>
      </c>
      <c r="D41" s="72" t="s">
        <v>112</v>
      </c>
      <c r="E41" s="145">
        <v>1</v>
      </c>
      <c r="F41" s="180">
        <v>1</v>
      </c>
      <c r="G41" s="145"/>
      <c r="H41" s="180">
        <f t="shared" ref="H41" si="70">F41+G41</f>
        <v>1</v>
      </c>
      <c r="I41" s="145">
        <f t="shared" ref="I41" si="71">ROUND(E41-H41,2)</f>
        <v>0</v>
      </c>
      <c r="J41" s="62">
        <v>271.39999999999998</v>
      </c>
      <c r="K41" s="150">
        <f t="shared" ref="K41:K45" si="72">TRUNC(J41*1.2211,2)</f>
        <v>331.4</v>
      </c>
      <c r="L41" s="150">
        <f>TRUNC(E41*K41,2)</f>
        <v>331.4</v>
      </c>
      <c r="M41" s="158">
        <f t="shared" ref="M41" si="73">ROUND(F41*$K41,2)</f>
        <v>331.4</v>
      </c>
      <c r="N41" s="158">
        <f t="shared" ref="N41" si="74">ROUND(G41*$K41,2)</f>
        <v>0</v>
      </c>
      <c r="O41" s="158">
        <f t="shared" ref="O41" si="75">ROUND(H41*$K41,2)</f>
        <v>331.4</v>
      </c>
      <c r="P41" s="158">
        <f t="shared" si="32"/>
        <v>0</v>
      </c>
      <c r="Q41" s="197">
        <f t="shared" si="22"/>
        <v>0</v>
      </c>
      <c r="R41" s="197">
        <f t="shared" si="23"/>
        <v>100</v>
      </c>
      <c r="S41" s="198">
        <f t="shared" si="24"/>
        <v>0</v>
      </c>
      <c r="T41" s="60">
        <f t="shared" si="6"/>
        <v>331.4</v>
      </c>
      <c r="V41" s="61">
        <f>(E41/180)*41</f>
        <v>0.22777777777777777</v>
      </c>
      <c r="Y41" s="67"/>
    </row>
    <row r="42" spans="1:25" s="61" customFormat="1" ht="12.75" x14ac:dyDescent="0.2">
      <c r="A42" s="71" t="s">
        <v>113</v>
      </c>
      <c r="B42" s="72">
        <v>41598</v>
      </c>
      <c r="C42" s="31" t="s">
        <v>114</v>
      </c>
      <c r="D42" s="72" t="s">
        <v>48</v>
      </c>
      <c r="E42" s="145">
        <v>1</v>
      </c>
      <c r="F42" s="180">
        <v>1</v>
      </c>
      <c r="G42" s="145"/>
      <c r="H42" s="180">
        <f t="shared" ref="H42:H48" si="76">F42+G42</f>
        <v>1</v>
      </c>
      <c r="I42" s="145">
        <f t="shared" ref="I42:I45" si="77">ROUND(E42-H42,2)</f>
        <v>0</v>
      </c>
      <c r="J42" s="62">
        <v>676.19</v>
      </c>
      <c r="K42" s="150">
        <f t="shared" si="72"/>
        <v>825.69</v>
      </c>
      <c r="L42" s="150">
        <f>TRUNC(E42*K42,2)</f>
        <v>825.69</v>
      </c>
      <c r="M42" s="158">
        <f t="shared" ref="M42:M45" si="78">ROUND(F42*$K42,2)</f>
        <v>825.69</v>
      </c>
      <c r="N42" s="158">
        <f t="shared" ref="N42:N45" si="79">ROUND(G42*$K42,2)</f>
        <v>0</v>
      </c>
      <c r="O42" s="158">
        <f t="shared" ref="O42:O45" si="80">ROUND(H42*$K42,2)</f>
        <v>825.69</v>
      </c>
      <c r="P42" s="158">
        <f t="shared" si="32"/>
        <v>0</v>
      </c>
      <c r="Q42" s="197">
        <f t="shared" si="22"/>
        <v>0</v>
      </c>
      <c r="R42" s="197">
        <f t="shared" si="23"/>
        <v>100</v>
      </c>
      <c r="S42" s="198">
        <f t="shared" si="24"/>
        <v>0</v>
      </c>
      <c r="T42" s="60">
        <f t="shared" si="6"/>
        <v>825.69</v>
      </c>
      <c r="V42" s="61">
        <f t="shared" si="39"/>
        <v>0.22777777777777777</v>
      </c>
      <c r="Y42" s="67"/>
    </row>
    <row r="43" spans="1:25" s="61" customFormat="1" ht="12.75" x14ac:dyDescent="0.2">
      <c r="A43" s="71" t="s">
        <v>115</v>
      </c>
      <c r="B43" s="72" t="s">
        <v>116</v>
      </c>
      <c r="C43" s="31" t="s">
        <v>117</v>
      </c>
      <c r="D43" s="72" t="s">
        <v>48</v>
      </c>
      <c r="E43" s="145">
        <v>1</v>
      </c>
      <c r="F43" s="180">
        <v>1</v>
      </c>
      <c r="G43" s="145"/>
      <c r="H43" s="180">
        <f t="shared" si="76"/>
        <v>1</v>
      </c>
      <c r="I43" s="145">
        <f t="shared" si="77"/>
        <v>0</v>
      </c>
      <c r="J43" s="62">
        <v>1183.43</v>
      </c>
      <c r="K43" s="150">
        <f t="shared" si="72"/>
        <v>1445.08</v>
      </c>
      <c r="L43" s="150">
        <f>TRUNC(E43*K43,2)</f>
        <v>1445.08</v>
      </c>
      <c r="M43" s="158">
        <f t="shared" si="78"/>
        <v>1445.08</v>
      </c>
      <c r="N43" s="158">
        <f t="shared" si="79"/>
        <v>0</v>
      </c>
      <c r="O43" s="158">
        <f t="shared" si="80"/>
        <v>1445.08</v>
      </c>
      <c r="P43" s="158">
        <f t="shared" si="32"/>
        <v>0</v>
      </c>
      <c r="Q43" s="197">
        <f t="shared" si="22"/>
        <v>0</v>
      </c>
      <c r="R43" s="197">
        <f t="shared" si="23"/>
        <v>100</v>
      </c>
      <c r="S43" s="198">
        <f t="shared" si="24"/>
        <v>0</v>
      </c>
      <c r="T43" s="60">
        <f t="shared" si="6"/>
        <v>1445.08</v>
      </c>
      <c r="V43" s="61">
        <f t="shared" si="39"/>
        <v>0.22777777777777777</v>
      </c>
      <c r="Y43" s="67"/>
    </row>
    <row r="44" spans="1:25" s="61" customFormat="1" ht="25.5" x14ac:dyDescent="0.2">
      <c r="A44" s="71" t="s">
        <v>118</v>
      </c>
      <c r="B44" s="72" t="s">
        <v>119</v>
      </c>
      <c r="C44" s="71" t="s">
        <v>120</v>
      </c>
      <c r="D44" s="72" t="s">
        <v>48</v>
      </c>
      <c r="E44" s="145">
        <v>1</v>
      </c>
      <c r="F44" s="180">
        <v>1</v>
      </c>
      <c r="G44" s="145"/>
      <c r="H44" s="180">
        <f t="shared" si="76"/>
        <v>1</v>
      </c>
      <c r="I44" s="145">
        <f t="shared" si="77"/>
        <v>0</v>
      </c>
      <c r="J44" s="62">
        <v>3285.01</v>
      </c>
      <c r="K44" s="150">
        <f t="shared" si="72"/>
        <v>4011.32</v>
      </c>
      <c r="L44" s="150">
        <f>TRUNC(E44*K44,2)</f>
        <v>4011.32</v>
      </c>
      <c r="M44" s="158">
        <f t="shared" si="78"/>
        <v>4011.32</v>
      </c>
      <c r="N44" s="158">
        <f t="shared" si="79"/>
        <v>0</v>
      </c>
      <c r="O44" s="158">
        <f t="shared" si="80"/>
        <v>4011.32</v>
      </c>
      <c r="P44" s="158">
        <f t="shared" si="32"/>
        <v>0</v>
      </c>
      <c r="Q44" s="197">
        <f t="shared" si="22"/>
        <v>0</v>
      </c>
      <c r="R44" s="197">
        <f t="shared" si="23"/>
        <v>100</v>
      </c>
      <c r="S44" s="198">
        <f t="shared" si="24"/>
        <v>0</v>
      </c>
      <c r="T44" s="60">
        <f t="shared" si="6"/>
        <v>4011.32</v>
      </c>
      <c r="V44" s="61">
        <f t="shared" si="39"/>
        <v>0.22777777777777777</v>
      </c>
      <c r="Y44" s="67"/>
    </row>
    <row r="45" spans="1:25" s="61" customFormat="1" ht="25.5" x14ac:dyDescent="0.2">
      <c r="A45" s="71" t="s">
        <v>121</v>
      </c>
      <c r="B45" s="72" t="s">
        <v>122</v>
      </c>
      <c r="C45" s="71" t="s">
        <v>123</v>
      </c>
      <c r="D45" s="72" t="s">
        <v>124</v>
      </c>
      <c r="E45" s="145">
        <v>48</v>
      </c>
      <c r="F45" s="180">
        <v>48</v>
      </c>
      <c r="G45" s="145"/>
      <c r="H45" s="180">
        <f t="shared" si="76"/>
        <v>48</v>
      </c>
      <c r="I45" s="145">
        <f t="shared" si="77"/>
        <v>0</v>
      </c>
      <c r="J45" s="62">
        <v>334.5</v>
      </c>
      <c r="K45" s="150">
        <f t="shared" si="72"/>
        <v>408.45</v>
      </c>
      <c r="L45" s="150">
        <f>TRUNC(E45*K45,2)</f>
        <v>19605.599999999999</v>
      </c>
      <c r="M45" s="158">
        <f t="shared" si="78"/>
        <v>19605.599999999999</v>
      </c>
      <c r="N45" s="158">
        <f t="shared" si="79"/>
        <v>0</v>
      </c>
      <c r="O45" s="158">
        <f t="shared" si="80"/>
        <v>19605.599999999999</v>
      </c>
      <c r="P45" s="158">
        <f t="shared" si="32"/>
        <v>0</v>
      </c>
      <c r="Q45" s="197">
        <f t="shared" si="22"/>
        <v>0</v>
      </c>
      <c r="R45" s="197">
        <f t="shared" si="23"/>
        <v>100</v>
      </c>
      <c r="S45" s="198">
        <f t="shared" si="24"/>
        <v>0</v>
      </c>
      <c r="T45" s="60">
        <f t="shared" si="6"/>
        <v>19605.599999999999</v>
      </c>
      <c r="V45" s="61">
        <f t="shared" si="39"/>
        <v>10.933333333333334</v>
      </c>
      <c r="Y45" s="67"/>
    </row>
    <row r="46" spans="1:25" s="61" customFormat="1" ht="12.75" x14ac:dyDescent="0.2">
      <c r="A46" s="106" t="s">
        <v>125</v>
      </c>
      <c r="B46" s="109"/>
      <c r="C46" s="106" t="s">
        <v>126</v>
      </c>
      <c r="D46" s="109"/>
      <c r="E46" s="171" t="s">
        <v>41</v>
      </c>
      <c r="F46" s="179"/>
      <c r="G46" s="179"/>
      <c r="H46" s="179"/>
      <c r="I46" s="179"/>
      <c r="J46" s="110" t="s">
        <v>41</v>
      </c>
      <c r="K46" s="152"/>
      <c r="L46" s="162">
        <f>SUM(L47:L48)</f>
        <v>11920</v>
      </c>
      <c r="M46" s="161">
        <f t="shared" ref="M46:P46" si="81">SUM(M47:M48)</f>
        <v>11920</v>
      </c>
      <c r="N46" s="161">
        <f t="shared" si="81"/>
        <v>0</v>
      </c>
      <c r="O46" s="161">
        <f t="shared" si="81"/>
        <v>11920</v>
      </c>
      <c r="P46" s="161">
        <f t="shared" si="81"/>
        <v>0</v>
      </c>
      <c r="Q46" s="201">
        <f t="shared" si="22"/>
        <v>0</v>
      </c>
      <c r="R46" s="201">
        <f t="shared" si="23"/>
        <v>100</v>
      </c>
      <c r="S46" s="202">
        <f t="shared" si="24"/>
        <v>0</v>
      </c>
      <c r="T46" s="60">
        <f t="shared" si="6"/>
        <v>11920</v>
      </c>
      <c r="V46" s="61" t="e">
        <f t="shared" si="39"/>
        <v>#VALUE!</v>
      </c>
      <c r="Y46" s="67"/>
    </row>
    <row r="47" spans="1:25" s="61" customFormat="1" ht="12.75" x14ac:dyDescent="0.2">
      <c r="A47" s="71" t="s">
        <v>127</v>
      </c>
      <c r="B47" s="72" t="s">
        <v>128</v>
      </c>
      <c r="C47" s="71" t="s">
        <v>129</v>
      </c>
      <c r="D47" s="72" t="s">
        <v>38</v>
      </c>
      <c r="E47" s="145">
        <v>200</v>
      </c>
      <c r="F47" s="145">
        <v>200</v>
      </c>
      <c r="G47" s="145"/>
      <c r="H47" s="180">
        <f t="shared" si="76"/>
        <v>200</v>
      </c>
      <c r="I47" s="145">
        <f t="shared" ref="I47" si="82">ROUND(E47-H47,2)</f>
        <v>0</v>
      </c>
      <c r="J47" s="62">
        <v>2.58</v>
      </c>
      <c r="K47" s="150">
        <f t="shared" ref="K47:K48" si="83">TRUNC(J47*1.2211,2)</f>
        <v>3.15</v>
      </c>
      <c r="L47" s="150">
        <f>TRUNC(E47*K47,2)</f>
        <v>630</v>
      </c>
      <c r="M47" s="158">
        <f t="shared" ref="M47" si="84">ROUND(F47*$K47,2)</f>
        <v>630</v>
      </c>
      <c r="N47" s="158">
        <f t="shared" ref="N47" si="85">ROUND(G47*$K47,2)</f>
        <v>0</v>
      </c>
      <c r="O47" s="158">
        <f t="shared" ref="O47" si="86">ROUND(H47*$K47,2)</f>
        <v>630</v>
      </c>
      <c r="P47" s="158">
        <f t="shared" si="32"/>
        <v>0</v>
      </c>
      <c r="Q47" s="197">
        <f t="shared" si="22"/>
        <v>0</v>
      </c>
      <c r="R47" s="197">
        <f t="shared" si="23"/>
        <v>100</v>
      </c>
      <c r="S47" s="198">
        <f>P47/L47*100</f>
        <v>0</v>
      </c>
      <c r="T47" s="60">
        <f t="shared" si="6"/>
        <v>630</v>
      </c>
      <c r="V47" s="61">
        <f t="shared" si="39"/>
        <v>45.555555555555557</v>
      </c>
      <c r="Y47" s="67"/>
    </row>
    <row r="48" spans="1:25" s="61" customFormat="1" ht="25.5" x14ac:dyDescent="0.2">
      <c r="A48" s="71" t="s">
        <v>130</v>
      </c>
      <c r="B48" s="72" t="s">
        <v>131</v>
      </c>
      <c r="C48" s="71" t="s">
        <v>132</v>
      </c>
      <c r="D48" s="72" t="s">
        <v>38</v>
      </c>
      <c r="E48" s="145">
        <v>200</v>
      </c>
      <c r="F48" s="145">
        <v>200</v>
      </c>
      <c r="G48" s="145"/>
      <c r="H48" s="180">
        <f t="shared" si="76"/>
        <v>200</v>
      </c>
      <c r="I48" s="145">
        <f t="shared" ref="I48" si="87">ROUND(E48-H48,2)</f>
        <v>0</v>
      </c>
      <c r="J48" s="62">
        <v>46.23</v>
      </c>
      <c r="K48" s="150">
        <f t="shared" si="83"/>
        <v>56.45</v>
      </c>
      <c r="L48" s="150">
        <f>TRUNC(E48*K48,2)</f>
        <v>11290</v>
      </c>
      <c r="M48" s="158">
        <f t="shared" ref="M48" si="88">ROUND(F48*$K48,2)</f>
        <v>11290</v>
      </c>
      <c r="N48" s="158">
        <f t="shared" ref="N48" si="89">ROUND(G48*$K48,2)</f>
        <v>0</v>
      </c>
      <c r="O48" s="158">
        <f t="shared" ref="O48" si="90">ROUND(H48*$K48,2)</f>
        <v>11290</v>
      </c>
      <c r="P48" s="158">
        <f t="shared" si="32"/>
        <v>0</v>
      </c>
      <c r="Q48" s="197">
        <f t="shared" si="22"/>
        <v>0</v>
      </c>
      <c r="R48" s="197">
        <f t="shared" si="23"/>
        <v>100</v>
      </c>
      <c r="S48" s="198">
        <f t="shared" si="24"/>
        <v>0</v>
      </c>
      <c r="T48" s="60">
        <f t="shared" si="6"/>
        <v>11290</v>
      </c>
      <c r="V48" s="61">
        <f t="shared" si="39"/>
        <v>45.555555555555557</v>
      </c>
      <c r="Y48" s="67"/>
    </row>
    <row r="49" spans="1:25" customFormat="1" ht="12.75" x14ac:dyDescent="0.2">
      <c r="A49" s="93" t="s">
        <v>133</v>
      </c>
      <c r="B49" s="94"/>
      <c r="C49" s="93" t="s">
        <v>134</v>
      </c>
      <c r="D49" s="94"/>
      <c r="E49" s="172" t="s">
        <v>41</v>
      </c>
      <c r="F49" s="181"/>
      <c r="G49" s="181"/>
      <c r="H49" s="181"/>
      <c r="I49" s="181"/>
      <c r="J49" s="95" t="s">
        <v>41</v>
      </c>
      <c r="K49" s="147"/>
      <c r="L49" s="163">
        <f>L50</f>
        <v>1131946.92</v>
      </c>
      <c r="M49" s="155">
        <f t="shared" ref="M49:P50" si="91">M50</f>
        <v>1130077.03</v>
      </c>
      <c r="N49" s="155">
        <f t="shared" si="91"/>
        <v>0</v>
      </c>
      <c r="O49" s="155">
        <f t="shared" si="91"/>
        <v>1130077.03</v>
      </c>
      <c r="P49" s="155">
        <f t="shared" si="91"/>
        <v>1869.889999999999</v>
      </c>
      <c r="Q49" s="204">
        <f t="shared" si="22"/>
        <v>0</v>
      </c>
      <c r="R49" s="204">
        <f t="shared" si="23"/>
        <v>99.834807625078398</v>
      </c>
      <c r="S49" s="191">
        <f t="shared" si="24"/>
        <v>0.16519237492160843</v>
      </c>
      <c r="T49" s="28">
        <f t="shared" si="6"/>
        <v>1130077.03</v>
      </c>
      <c r="Y49" s="67"/>
    </row>
    <row r="50" spans="1:25" customFormat="1" ht="12.75" x14ac:dyDescent="0.2">
      <c r="A50" s="106" t="s">
        <v>135</v>
      </c>
      <c r="B50" s="107"/>
      <c r="C50" s="106" t="s">
        <v>134</v>
      </c>
      <c r="D50" s="107"/>
      <c r="E50" s="169" t="s">
        <v>41</v>
      </c>
      <c r="F50" s="176"/>
      <c r="G50" s="176"/>
      <c r="H50" s="176"/>
      <c r="I50" s="176"/>
      <c r="J50" s="108" t="s">
        <v>41</v>
      </c>
      <c r="K50" s="148"/>
      <c r="L50" s="159">
        <f>L51</f>
        <v>1131946.92</v>
      </c>
      <c r="M50" s="156">
        <f t="shared" si="91"/>
        <v>1130077.03</v>
      </c>
      <c r="N50" s="156">
        <f t="shared" si="91"/>
        <v>0</v>
      </c>
      <c r="O50" s="156">
        <f t="shared" si="91"/>
        <v>1130077.03</v>
      </c>
      <c r="P50" s="156">
        <f t="shared" si="91"/>
        <v>1869.889999999999</v>
      </c>
      <c r="Q50" s="196">
        <f t="shared" si="22"/>
        <v>0</v>
      </c>
      <c r="R50" s="196">
        <f t="shared" si="23"/>
        <v>99.834807625078398</v>
      </c>
      <c r="S50" s="193">
        <f t="shared" si="24"/>
        <v>0.16519237492160843</v>
      </c>
      <c r="T50" s="28">
        <f t="shared" si="6"/>
        <v>1130077.03</v>
      </c>
      <c r="Y50" s="67"/>
    </row>
    <row r="51" spans="1:25" customFormat="1" ht="12.75" x14ac:dyDescent="0.2">
      <c r="A51" s="34" t="s">
        <v>136</v>
      </c>
      <c r="B51" s="35"/>
      <c r="C51" s="34" t="s">
        <v>137</v>
      </c>
      <c r="D51" s="35"/>
      <c r="E51" s="173" t="s">
        <v>41</v>
      </c>
      <c r="F51" s="182"/>
      <c r="G51" s="182"/>
      <c r="H51" s="182"/>
      <c r="I51" s="182"/>
      <c r="J51" s="113" t="s">
        <v>41</v>
      </c>
      <c r="K51" s="153"/>
      <c r="L51" s="164">
        <f>SUM(L52:L60)</f>
        <v>1131946.92</v>
      </c>
      <c r="M51" s="165">
        <f t="shared" ref="M51:P51" si="92">SUM(M52:M60)</f>
        <v>1130077.03</v>
      </c>
      <c r="N51" s="165">
        <f t="shared" si="92"/>
        <v>0</v>
      </c>
      <c r="O51" s="165">
        <f t="shared" si="92"/>
        <v>1130077.03</v>
      </c>
      <c r="P51" s="165">
        <f t="shared" si="92"/>
        <v>1869.889999999999</v>
      </c>
      <c r="Q51" s="205">
        <f t="shared" si="22"/>
        <v>0</v>
      </c>
      <c r="R51" s="205">
        <f t="shared" si="23"/>
        <v>99.834807625078398</v>
      </c>
      <c r="S51" s="206">
        <f t="shared" si="24"/>
        <v>0.16519237492160843</v>
      </c>
      <c r="T51" s="28">
        <f t="shared" si="6"/>
        <v>1130077.03</v>
      </c>
      <c r="Y51" s="67"/>
    </row>
    <row r="52" spans="1:25" customFormat="1" ht="25.5" x14ac:dyDescent="0.2">
      <c r="A52" s="71" t="s">
        <v>138</v>
      </c>
      <c r="B52" s="30">
        <v>5501710</v>
      </c>
      <c r="C52" s="71" t="s">
        <v>139</v>
      </c>
      <c r="D52" s="72" t="s">
        <v>71</v>
      </c>
      <c r="E52" s="144">
        <v>12369.67</v>
      </c>
      <c r="F52" s="144">
        <v>12369.66</v>
      </c>
      <c r="G52" s="144"/>
      <c r="H52" s="144">
        <f t="shared" ref="H52" si="93">F52+G52</f>
        <v>12369.66</v>
      </c>
      <c r="I52" s="144">
        <f>E52-H52</f>
        <v>1.0000000000218279E-2</v>
      </c>
      <c r="J52" s="75">
        <v>2.92</v>
      </c>
      <c r="K52" s="149">
        <f t="shared" ref="K52:K60" si="94">TRUNC(J52*1.2211,2)</f>
        <v>3.56</v>
      </c>
      <c r="L52" s="149">
        <f t="shared" ref="L52:L60" si="95">TRUNC(E52*K52,2)</f>
        <v>44036.02</v>
      </c>
      <c r="M52" s="157">
        <f t="shared" ref="M52" si="96">ROUND(F52*$K52,2)</f>
        <v>44035.99</v>
      </c>
      <c r="N52" s="157">
        <f t="shared" ref="N52" si="97">ROUND(G52*$K52,2)</f>
        <v>0</v>
      </c>
      <c r="O52" s="157">
        <f t="shared" ref="O52" si="98">ROUND(H52*$K52,2)</f>
        <v>44035.99</v>
      </c>
      <c r="P52" s="157">
        <f>L52-O52</f>
        <v>2.9999999998835847E-2</v>
      </c>
      <c r="Q52" s="194">
        <f t="shared" si="22"/>
        <v>0</v>
      </c>
      <c r="R52" s="194">
        <f t="shared" si="23"/>
        <v>99.999931873952292</v>
      </c>
      <c r="S52" s="195">
        <f t="shared" si="24"/>
        <v>6.812604771919862E-5</v>
      </c>
      <c r="T52" s="28">
        <f t="shared" si="6"/>
        <v>44035.99</v>
      </c>
      <c r="Y52" s="67"/>
    </row>
    <row r="53" spans="1:25" customFormat="1" ht="38.25" x14ac:dyDescent="0.2">
      <c r="A53" s="71" t="s">
        <v>140</v>
      </c>
      <c r="B53" s="30">
        <v>5501875</v>
      </c>
      <c r="C53" s="71" t="s">
        <v>141</v>
      </c>
      <c r="D53" s="72" t="s">
        <v>71</v>
      </c>
      <c r="E53" s="144">
        <v>15514.4</v>
      </c>
      <c r="F53" s="144">
        <v>15514.4</v>
      </c>
      <c r="G53" s="144"/>
      <c r="H53" s="144">
        <f t="shared" ref="H53:H60" si="99">F53+G53</f>
        <v>15514.4</v>
      </c>
      <c r="I53" s="144">
        <f t="shared" ref="I53:I60" si="100">E53-H53</f>
        <v>0</v>
      </c>
      <c r="J53" s="75">
        <v>9.4600000000000009</v>
      </c>
      <c r="K53" s="149">
        <f t="shared" si="94"/>
        <v>11.55</v>
      </c>
      <c r="L53" s="149">
        <f t="shared" si="95"/>
        <v>179191.32</v>
      </c>
      <c r="M53" s="157">
        <f t="shared" ref="M53:M60" si="101">ROUND(F53*$K53,2)</f>
        <v>179191.32</v>
      </c>
      <c r="N53" s="157">
        <f t="shared" ref="N53:N60" si="102">ROUND(G53*$K53,2)</f>
        <v>0</v>
      </c>
      <c r="O53" s="157">
        <f t="shared" ref="O53:O60" si="103">ROUND(H53*$K53,2)</f>
        <v>179191.32</v>
      </c>
      <c r="P53" s="157">
        <f t="shared" ref="P53:P60" si="104">ROUND(I53*$K53,2)</f>
        <v>0</v>
      </c>
      <c r="Q53" s="194">
        <f t="shared" si="22"/>
        <v>0</v>
      </c>
      <c r="R53" s="194">
        <f t="shared" si="23"/>
        <v>100</v>
      </c>
      <c r="S53" s="195">
        <f t="shared" si="24"/>
        <v>0</v>
      </c>
      <c r="T53" s="28">
        <f t="shared" si="6"/>
        <v>179191.32</v>
      </c>
      <c r="Y53" s="67"/>
    </row>
    <row r="54" spans="1:25" customFormat="1" ht="25.5" x14ac:dyDescent="0.2">
      <c r="A54" s="71" t="s">
        <v>142</v>
      </c>
      <c r="B54" s="30">
        <v>5501876</v>
      </c>
      <c r="C54" s="71" t="s">
        <v>143</v>
      </c>
      <c r="D54" s="72" t="s">
        <v>71</v>
      </c>
      <c r="E54" s="144">
        <v>3823.23</v>
      </c>
      <c r="F54" s="144">
        <v>3823.2299999999996</v>
      </c>
      <c r="G54" s="145"/>
      <c r="H54" s="144">
        <f t="shared" si="99"/>
        <v>3823.2299999999996</v>
      </c>
      <c r="I54" s="144">
        <f t="shared" si="100"/>
        <v>0</v>
      </c>
      <c r="J54" s="75">
        <v>9.91</v>
      </c>
      <c r="K54" s="149">
        <f t="shared" si="94"/>
        <v>12.1</v>
      </c>
      <c r="L54" s="149">
        <f t="shared" si="95"/>
        <v>46261.08</v>
      </c>
      <c r="M54" s="157">
        <f t="shared" si="101"/>
        <v>46261.08</v>
      </c>
      <c r="N54" s="157">
        <f t="shared" si="102"/>
        <v>0</v>
      </c>
      <c r="O54" s="157">
        <f t="shared" si="103"/>
        <v>46261.08</v>
      </c>
      <c r="P54" s="157">
        <f t="shared" si="104"/>
        <v>0</v>
      </c>
      <c r="Q54" s="194">
        <f t="shared" si="22"/>
        <v>0</v>
      </c>
      <c r="R54" s="194">
        <f t="shared" si="23"/>
        <v>100</v>
      </c>
      <c r="S54" s="195">
        <f t="shared" si="24"/>
        <v>0</v>
      </c>
      <c r="T54" s="28">
        <f t="shared" si="6"/>
        <v>46261.08</v>
      </c>
      <c r="Y54" s="67"/>
    </row>
    <row r="55" spans="1:25" customFormat="1" ht="38.25" x14ac:dyDescent="0.2">
      <c r="A55" s="71" t="s">
        <v>144</v>
      </c>
      <c r="B55" s="30">
        <v>5501878</v>
      </c>
      <c r="C55" s="71" t="s">
        <v>145</v>
      </c>
      <c r="D55" s="72" t="s">
        <v>71</v>
      </c>
      <c r="E55" s="144">
        <v>607.91</v>
      </c>
      <c r="F55" s="144">
        <v>607.90000000000009</v>
      </c>
      <c r="G55" s="145"/>
      <c r="H55" s="144">
        <f t="shared" si="99"/>
        <v>607.90000000000009</v>
      </c>
      <c r="I55" s="144">
        <f t="shared" si="100"/>
        <v>9.9999999998772182E-3</v>
      </c>
      <c r="J55" s="75">
        <v>10.96</v>
      </c>
      <c r="K55" s="149">
        <f t="shared" si="94"/>
        <v>13.38</v>
      </c>
      <c r="L55" s="149">
        <f t="shared" si="95"/>
        <v>8133.83</v>
      </c>
      <c r="M55" s="157">
        <f t="shared" si="101"/>
        <v>8133.7</v>
      </c>
      <c r="N55" s="157">
        <f t="shared" si="102"/>
        <v>0</v>
      </c>
      <c r="O55" s="157">
        <f t="shared" si="103"/>
        <v>8133.7</v>
      </c>
      <c r="P55" s="157">
        <f>L55-O55</f>
        <v>0.13000000000010914</v>
      </c>
      <c r="Q55" s="194">
        <f t="shared" si="22"/>
        <v>0</v>
      </c>
      <c r="R55" s="194">
        <f t="shared" si="23"/>
        <v>99.998401736943109</v>
      </c>
      <c r="S55" s="195">
        <f t="shared" si="24"/>
        <v>1.5982630568884418E-3</v>
      </c>
      <c r="T55" s="28">
        <f t="shared" si="6"/>
        <v>8133.7</v>
      </c>
      <c r="Y55" s="67"/>
    </row>
    <row r="56" spans="1:25" customFormat="1" ht="25.5" x14ac:dyDescent="0.2">
      <c r="A56" s="71" t="s">
        <v>146</v>
      </c>
      <c r="B56" s="30">
        <v>5501880</v>
      </c>
      <c r="C56" s="71" t="s">
        <v>147</v>
      </c>
      <c r="D56" s="72" t="s">
        <v>71</v>
      </c>
      <c r="E56" s="144">
        <v>13645</v>
      </c>
      <c r="F56" s="144">
        <v>13645</v>
      </c>
      <c r="G56" s="145"/>
      <c r="H56" s="144">
        <f t="shared" si="99"/>
        <v>13645</v>
      </c>
      <c r="I56" s="144">
        <f t="shared" si="100"/>
        <v>0</v>
      </c>
      <c r="J56" s="75">
        <v>11.93</v>
      </c>
      <c r="K56" s="149">
        <f t="shared" si="94"/>
        <v>14.56</v>
      </c>
      <c r="L56" s="149">
        <f t="shared" si="95"/>
        <v>198671.2</v>
      </c>
      <c r="M56" s="157">
        <f t="shared" si="101"/>
        <v>198671.2</v>
      </c>
      <c r="N56" s="157">
        <f t="shared" si="102"/>
        <v>0</v>
      </c>
      <c r="O56" s="157">
        <f t="shared" si="103"/>
        <v>198671.2</v>
      </c>
      <c r="P56" s="157">
        <f t="shared" si="104"/>
        <v>0</v>
      </c>
      <c r="Q56" s="194">
        <f t="shared" si="22"/>
        <v>0</v>
      </c>
      <c r="R56" s="194">
        <f t="shared" si="23"/>
        <v>100</v>
      </c>
      <c r="S56" s="195">
        <f t="shared" si="24"/>
        <v>0</v>
      </c>
      <c r="T56" s="28">
        <f t="shared" si="6"/>
        <v>198671.2</v>
      </c>
      <c r="Y56" s="67"/>
    </row>
    <row r="57" spans="1:25" customFormat="1" ht="38.25" x14ac:dyDescent="0.2">
      <c r="A57" s="71" t="s">
        <v>148</v>
      </c>
      <c r="B57" s="72">
        <v>5501881</v>
      </c>
      <c r="C57" s="71" t="s">
        <v>149</v>
      </c>
      <c r="D57" s="72" t="s">
        <v>71</v>
      </c>
      <c r="E57" s="144">
        <v>2746</v>
      </c>
      <c r="F57" s="144">
        <v>2746.0000000000005</v>
      </c>
      <c r="G57" s="145"/>
      <c r="H57" s="144">
        <f t="shared" si="99"/>
        <v>2746.0000000000005</v>
      </c>
      <c r="I57" s="144">
        <f t="shared" si="100"/>
        <v>0</v>
      </c>
      <c r="J57" s="75">
        <v>12.2</v>
      </c>
      <c r="K57" s="149">
        <f t="shared" si="94"/>
        <v>14.89</v>
      </c>
      <c r="L57" s="149">
        <f t="shared" si="95"/>
        <v>40887.94</v>
      </c>
      <c r="M57" s="157">
        <f t="shared" si="101"/>
        <v>40887.94</v>
      </c>
      <c r="N57" s="157">
        <f t="shared" si="102"/>
        <v>0</v>
      </c>
      <c r="O57" s="157">
        <f t="shared" si="103"/>
        <v>40887.94</v>
      </c>
      <c r="P57" s="157">
        <f t="shared" si="104"/>
        <v>0</v>
      </c>
      <c r="Q57" s="194">
        <f t="shared" si="22"/>
        <v>0</v>
      </c>
      <c r="R57" s="194">
        <f t="shared" si="23"/>
        <v>100</v>
      </c>
      <c r="S57" s="195">
        <f t="shared" si="24"/>
        <v>0</v>
      </c>
      <c r="T57" s="28">
        <f t="shared" si="6"/>
        <v>40887.94</v>
      </c>
      <c r="Y57" s="67"/>
    </row>
    <row r="58" spans="1:25" customFormat="1" ht="38.25" x14ac:dyDescent="0.2">
      <c r="A58" s="31" t="s">
        <v>150</v>
      </c>
      <c r="B58" s="72">
        <v>5501885</v>
      </c>
      <c r="C58" s="31" t="s">
        <v>151</v>
      </c>
      <c r="D58" s="72" t="s">
        <v>71</v>
      </c>
      <c r="E58" s="144">
        <v>16454</v>
      </c>
      <c r="F58" s="144">
        <v>16453.999999999996</v>
      </c>
      <c r="G58" s="145"/>
      <c r="H58" s="144">
        <f t="shared" si="99"/>
        <v>16453.999999999996</v>
      </c>
      <c r="I58" s="144">
        <f t="shared" si="100"/>
        <v>0</v>
      </c>
      <c r="J58" s="75">
        <v>13.93</v>
      </c>
      <c r="K58" s="149">
        <f t="shared" si="94"/>
        <v>17</v>
      </c>
      <c r="L58" s="149">
        <f t="shared" si="95"/>
        <v>279718</v>
      </c>
      <c r="M58" s="157">
        <f t="shared" si="101"/>
        <v>279718</v>
      </c>
      <c r="N58" s="157">
        <f t="shared" si="102"/>
        <v>0</v>
      </c>
      <c r="O58" s="157">
        <f t="shared" si="103"/>
        <v>279718</v>
      </c>
      <c r="P58" s="157">
        <f t="shared" si="104"/>
        <v>0</v>
      </c>
      <c r="Q58" s="194">
        <f t="shared" si="22"/>
        <v>0</v>
      </c>
      <c r="R58" s="194">
        <f t="shared" si="23"/>
        <v>100</v>
      </c>
      <c r="S58" s="195">
        <f t="shared" si="24"/>
        <v>0</v>
      </c>
      <c r="T58" s="28">
        <f t="shared" si="6"/>
        <v>279718</v>
      </c>
      <c r="U58">
        <f>88000/K58</f>
        <v>5176.4705882352937</v>
      </c>
      <c r="Y58" s="67"/>
    </row>
    <row r="59" spans="1:25" customFormat="1" ht="38.25" x14ac:dyDescent="0.2">
      <c r="A59" s="31" t="s">
        <v>152</v>
      </c>
      <c r="B59" s="72">
        <v>5915320</v>
      </c>
      <c r="C59" s="31" t="s">
        <v>153</v>
      </c>
      <c r="D59" s="72" t="s">
        <v>79</v>
      </c>
      <c r="E59" s="144">
        <v>6388.5</v>
      </c>
      <c r="F59" s="144">
        <v>4215.24</v>
      </c>
      <c r="G59" s="145"/>
      <c r="H59" s="144">
        <f t="shared" si="99"/>
        <v>4215.24</v>
      </c>
      <c r="I59" s="144">
        <f t="shared" si="100"/>
        <v>2173.2600000000002</v>
      </c>
      <c r="J59" s="75">
        <v>0.71</v>
      </c>
      <c r="K59" s="149">
        <f t="shared" si="94"/>
        <v>0.86</v>
      </c>
      <c r="L59" s="149">
        <f t="shared" si="95"/>
        <v>5494.11</v>
      </c>
      <c r="M59" s="157">
        <f t="shared" si="101"/>
        <v>3625.11</v>
      </c>
      <c r="N59" s="157">
        <f t="shared" si="102"/>
        <v>0</v>
      </c>
      <c r="O59" s="157">
        <f t="shared" si="103"/>
        <v>3625.11</v>
      </c>
      <c r="P59" s="157">
        <f t="shared" si="104"/>
        <v>1869</v>
      </c>
      <c r="Q59" s="194">
        <f t="shared" si="22"/>
        <v>0</v>
      </c>
      <c r="R59" s="194">
        <f t="shared" si="23"/>
        <v>65.981751366463357</v>
      </c>
      <c r="S59" s="195">
        <f t="shared" si="24"/>
        <v>34.018248633536643</v>
      </c>
      <c r="T59" s="28">
        <f t="shared" si="6"/>
        <v>3625.1099999999997</v>
      </c>
      <c r="Y59" s="67"/>
    </row>
    <row r="60" spans="1:25" customFormat="1" ht="12.75" customHeight="1" x14ac:dyDescent="0.2">
      <c r="A60" s="71" t="s">
        <v>154</v>
      </c>
      <c r="B60" s="31"/>
      <c r="C60" s="31" t="s">
        <v>155</v>
      </c>
      <c r="D60" s="72" t="s">
        <v>71</v>
      </c>
      <c r="E60" s="144">
        <v>57918</v>
      </c>
      <c r="F60" s="144">
        <v>57917.871099999997</v>
      </c>
      <c r="G60" s="145"/>
      <c r="H60" s="144">
        <f t="shared" si="99"/>
        <v>57917.871099999997</v>
      </c>
      <c r="I60" s="144">
        <f t="shared" si="100"/>
        <v>0.12890000000334112</v>
      </c>
      <c r="J60" s="75">
        <v>4.66</v>
      </c>
      <c r="K60" s="149">
        <f t="shared" si="94"/>
        <v>5.69</v>
      </c>
      <c r="L60" s="149">
        <f t="shared" si="95"/>
        <v>329553.42</v>
      </c>
      <c r="M60" s="157">
        <f t="shared" si="101"/>
        <v>329552.69</v>
      </c>
      <c r="N60" s="157">
        <f t="shared" si="102"/>
        <v>0</v>
      </c>
      <c r="O60" s="157">
        <f t="shared" si="103"/>
        <v>329552.69</v>
      </c>
      <c r="P60" s="157">
        <f t="shared" si="104"/>
        <v>0.73</v>
      </c>
      <c r="Q60" s="194">
        <f t="shared" si="22"/>
        <v>0</v>
      </c>
      <c r="R60" s="194">
        <f t="shared" si="23"/>
        <v>99.999778488112796</v>
      </c>
      <c r="S60" s="195">
        <f t="shared" si="24"/>
        <v>2.2151188720784633E-4</v>
      </c>
      <c r="T60" s="28">
        <f t="shared" si="6"/>
        <v>329552.69</v>
      </c>
      <c r="Y60" s="67"/>
    </row>
    <row r="61" spans="1:25" customFormat="1" ht="12.75" x14ac:dyDescent="0.2">
      <c r="A61" s="93" t="s">
        <v>156</v>
      </c>
      <c r="B61" s="94"/>
      <c r="C61" s="93" t="s">
        <v>157</v>
      </c>
      <c r="D61" s="94"/>
      <c r="E61" s="172" t="s">
        <v>41</v>
      </c>
      <c r="F61" s="181"/>
      <c r="G61" s="181"/>
      <c r="H61" s="181"/>
      <c r="I61" s="181"/>
      <c r="J61" s="95" t="s">
        <v>41</v>
      </c>
      <c r="K61" s="147"/>
      <c r="L61" s="155">
        <f>L62</f>
        <v>2093699.4400000006</v>
      </c>
      <c r="M61" s="155">
        <f t="shared" ref="M61:P61" si="105">M62</f>
        <v>1309448.2</v>
      </c>
      <c r="N61" s="155">
        <f t="shared" si="105"/>
        <v>0</v>
      </c>
      <c r="O61" s="155">
        <f t="shared" si="105"/>
        <v>1309448.2</v>
      </c>
      <c r="P61" s="155">
        <f t="shared" si="105"/>
        <v>784251.23999999987</v>
      </c>
      <c r="Q61" s="204">
        <f t="shared" si="22"/>
        <v>0</v>
      </c>
      <c r="R61" s="204">
        <f t="shared" si="23"/>
        <v>62.542319827911861</v>
      </c>
      <c r="S61" s="191">
        <f t="shared" si="24"/>
        <v>37.457680172088104</v>
      </c>
      <c r="T61" s="28">
        <f t="shared" si="6"/>
        <v>1309448.2000000007</v>
      </c>
      <c r="Y61" s="67"/>
    </row>
    <row r="62" spans="1:25" customFormat="1" ht="12.75" x14ac:dyDescent="0.2">
      <c r="A62" s="106" t="s">
        <v>158</v>
      </c>
      <c r="B62" s="107"/>
      <c r="C62" s="106" t="s">
        <v>157</v>
      </c>
      <c r="D62" s="107"/>
      <c r="E62" s="169" t="s">
        <v>41</v>
      </c>
      <c r="F62" s="176"/>
      <c r="G62" s="176"/>
      <c r="H62" s="176"/>
      <c r="I62" s="176"/>
      <c r="J62" s="108" t="s">
        <v>41</v>
      </c>
      <c r="K62" s="148"/>
      <c r="L62" s="156">
        <f>L63+L72+L113+L120+L124</f>
        <v>2093699.4400000006</v>
      </c>
      <c r="M62" s="156">
        <f t="shared" ref="M62:P62" si="106">M63+M72+M113+M120+M124</f>
        <v>1309448.2</v>
      </c>
      <c r="N62" s="156">
        <f t="shared" si="106"/>
        <v>0</v>
      </c>
      <c r="O62" s="156">
        <f t="shared" si="106"/>
        <v>1309448.2</v>
      </c>
      <c r="P62" s="156">
        <f t="shared" si="106"/>
        <v>784251.23999999987</v>
      </c>
      <c r="Q62" s="196">
        <f t="shared" si="22"/>
        <v>0</v>
      </c>
      <c r="R62" s="196">
        <f t="shared" si="23"/>
        <v>62.542319827911861</v>
      </c>
      <c r="S62" s="193">
        <f t="shared" si="24"/>
        <v>37.457680172088104</v>
      </c>
      <c r="T62" s="28">
        <f t="shared" si="6"/>
        <v>1309448.2000000007</v>
      </c>
      <c r="Y62" s="67"/>
    </row>
    <row r="63" spans="1:25" customFormat="1" ht="12.75" x14ac:dyDescent="0.2">
      <c r="A63" s="34" t="s">
        <v>159</v>
      </c>
      <c r="B63" s="35"/>
      <c r="C63" s="34" t="s">
        <v>160</v>
      </c>
      <c r="D63" s="35"/>
      <c r="E63" s="173" t="s">
        <v>41</v>
      </c>
      <c r="F63" s="182"/>
      <c r="G63" s="182"/>
      <c r="H63" s="182"/>
      <c r="I63" s="182"/>
      <c r="J63" s="113" t="s">
        <v>41</v>
      </c>
      <c r="K63" s="153"/>
      <c r="L63" s="165">
        <f>SUM(L64:L71)</f>
        <v>164896.78</v>
      </c>
      <c r="M63" s="165">
        <f t="shared" ref="M63:P63" si="107">SUM(M64:M71)</f>
        <v>137446.22</v>
      </c>
      <c r="N63" s="165">
        <f t="shared" si="107"/>
        <v>0</v>
      </c>
      <c r="O63" s="165">
        <f t="shared" si="107"/>
        <v>137446.22</v>
      </c>
      <c r="P63" s="165">
        <f t="shared" si="107"/>
        <v>27450.559999999998</v>
      </c>
      <c r="Q63" s="205">
        <f t="shared" si="22"/>
        <v>0</v>
      </c>
      <c r="R63" s="205">
        <f t="shared" si="23"/>
        <v>83.352882936828721</v>
      </c>
      <c r="S63" s="206">
        <f t="shared" si="24"/>
        <v>16.647117063171272</v>
      </c>
      <c r="T63" s="28">
        <f t="shared" si="6"/>
        <v>137446.22</v>
      </c>
      <c r="Y63" s="67"/>
    </row>
    <row r="64" spans="1:25" customFormat="1" ht="25.5" x14ac:dyDescent="0.2">
      <c r="A64" s="71" t="s">
        <v>161</v>
      </c>
      <c r="B64" s="72" t="s">
        <v>162</v>
      </c>
      <c r="C64" s="71" t="s">
        <v>163</v>
      </c>
      <c r="D64" s="72" t="s">
        <v>38</v>
      </c>
      <c r="E64" s="144">
        <v>1040</v>
      </c>
      <c r="F64" s="177">
        <v>1013.2</v>
      </c>
      <c r="G64" s="177"/>
      <c r="H64" s="177">
        <f t="shared" ref="H64" si="108">F64+G64</f>
        <v>1013.2</v>
      </c>
      <c r="I64" s="144">
        <f>E64-H64</f>
        <v>26.799999999999955</v>
      </c>
      <c r="J64" s="75">
        <v>31.47</v>
      </c>
      <c r="K64" s="149">
        <f t="shared" ref="K64:K71" si="109">TRUNC(J64*1.2211,2)</f>
        <v>38.42</v>
      </c>
      <c r="L64" s="149">
        <f t="shared" ref="L64:L71" si="110">TRUNC(E64*K64,2)</f>
        <v>39956.800000000003</v>
      </c>
      <c r="M64" s="157">
        <f t="shared" ref="M64" si="111">ROUND(F64*$K64,2)</f>
        <v>38927.14</v>
      </c>
      <c r="N64" s="157">
        <f t="shared" ref="N64" si="112">ROUND(G64*$K64,2)</f>
        <v>0</v>
      </c>
      <c r="O64" s="157">
        <f t="shared" ref="O64" si="113">ROUND(H64*$K64,2)</f>
        <v>38927.14</v>
      </c>
      <c r="P64" s="157">
        <f t="shared" ref="P64:P71" si="114">ROUND(I64*$K64,2)</f>
        <v>1029.6600000000001</v>
      </c>
      <c r="Q64" s="194">
        <f t="shared" si="22"/>
        <v>0</v>
      </c>
      <c r="R64" s="194">
        <f t="shared" si="23"/>
        <v>97.423066912265227</v>
      </c>
      <c r="S64" s="195">
        <f t="shared" si="24"/>
        <v>2.5769330877347536</v>
      </c>
      <c r="T64" s="28">
        <f t="shared" si="6"/>
        <v>38927.14</v>
      </c>
      <c r="Y64" s="67"/>
    </row>
    <row r="65" spans="1:25" customFormat="1" ht="12.75" x14ac:dyDescent="0.2">
      <c r="A65" s="71" t="s">
        <v>164</v>
      </c>
      <c r="B65" s="72" t="s">
        <v>165</v>
      </c>
      <c r="C65" s="71" t="s">
        <v>166</v>
      </c>
      <c r="D65" s="72" t="s">
        <v>167</v>
      </c>
      <c r="E65" s="144">
        <v>2329</v>
      </c>
      <c r="F65" s="177">
        <v>2329</v>
      </c>
      <c r="G65" s="177"/>
      <c r="H65" s="177">
        <f t="shared" ref="H65:H71" si="115">F65+G65</f>
        <v>2329</v>
      </c>
      <c r="I65" s="144">
        <f t="shared" ref="I65:I71" si="116">E65-H65</f>
        <v>0</v>
      </c>
      <c r="J65" s="75">
        <v>22</v>
      </c>
      <c r="K65" s="149">
        <f t="shared" si="109"/>
        <v>26.86</v>
      </c>
      <c r="L65" s="149">
        <f t="shared" si="110"/>
        <v>62556.94</v>
      </c>
      <c r="M65" s="157">
        <f t="shared" ref="M65:M71" si="117">ROUND(F65*$K65,2)</f>
        <v>62556.94</v>
      </c>
      <c r="N65" s="157">
        <f t="shared" ref="N65:N71" si="118">ROUND(G65*$K65,2)</f>
        <v>0</v>
      </c>
      <c r="O65" s="157">
        <f t="shared" ref="O65:O71" si="119">ROUND(H65*$K65,2)</f>
        <v>62556.94</v>
      </c>
      <c r="P65" s="157">
        <f t="shared" si="114"/>
        <v>0</v>
      </c>
      <c r="Q65" s="194">
        <f t="shared" si="22"/>
        <v>0</v>
      </c>
      <c r="R65" s="194">
        <f t="shared" si="23"/>
        <v>100</v>
      </c>
      <c r="S65" s="195">
        <f t="shared" si="24"/>
        <v>0</v>
      </c>
      <c r="T65" s="28">
        <f t="shared" si="6"/>
        <v>62556.94</v>
      </c>
      <c r="Y65" s="67"/>
    </row>
    <row r="66" spans="1:25" customFormat="1" ht="25.5" x14ac:dyDescent="0.2">
      <c r="A66" s="71" t="s">
        <v>168</v>
      </c>
      <c r="B66" s="72" t="s">
        <v>169</v>
      </c>
      <c r="C66" s="76" t="s">
        <v>510</v>
      </c>
      <c r="D66" s="72" t="s">
        <v>71</v>
      </c>
      <c r="E66" s="144">
        <v>1240</v>
      </c>
      <c r="F66" s="177">
        <v>967.48500000000001</v>
      </c>
      <c r="G66" s="177"/>
      <c r="H66" s="177">
        <f t="shared" si="115"/>
        <v>967.48500000000001</v>
      </c>
      <c r="I66" s="144">
        <f t="shared" si="116"/>
        <v>272.51499999999999</v>
      </c>
      <c r="J66" s="75">
        <v>9.73</v>
      </c>
      <c r="K66" s="149">
        <f t="shared" si="109"/>
        <v>11.88</v>
      </c>
      <c r="L66" s="149">
        <f t="shared" si="110"/>
        <v>14731.2</v>
      </c>
      <c r="M66" s="157">
        <f t="shared" si="117"/>
        <v>11493.72</v>
      </c>
      <c r="N66" s="157">
        <f t="shared" si="118"/>
        <v>0</v>
      </c>
      <c r="O66" s="157">
        <f t="shared" si="119"/>
        <v>11493.72</v>
      </c>
      <c r="P66" s="157">
        <f t="shared" si="114"/>
        <v>3237.48</v>
      </c>
      <c r="Q66" s="194">
        <f t="shared" si="22"/>
        <v>0</v>
      </c>
      <c r="R66" s="194">
        <f t="shared" si="23"/>
        <v>78.022971652003903</v>
      </c>
      <c r="S66" s="195">
        <f t="shared" si="24"/>
        <v>21.97702834799609</v>
      </c>
      <c r="T66" s="28">
        <f t="shared" si="6"/>
        <v>11493.720000000001</v>
      </c>
      <c r="Y66" s="67"/>
    </row>
    <row r="67" spans="1:25" customFormat="1" ht="25.5" x14ac:dyDescent="0.2">
      <c r="A67" s="71" t="s">
        <v>170</v>
      </c>
      <c r="B67" s="72" t="s">
        <v>171</v>
      </c>
      <c r="C67" s="71" t="s">
        <v>509</v>
      </c>
      <c r="D67" s="72" t="s">
        <v>71</v>
      </c>
      <c r="E67" s="144">
        <v>153</v>
      </c>
      <c r="F67" s="177">
        <v>153</v>
      </c>
      <c r="G67" s="177"/>
      <c r="H67" s="177">
        <f t="shared" si="115"/>
        <v>153</v>
      </c>
      <c r="I67" s="144">
        <f t="shared" si="116"/>
        <v>0</v>
      </c>
      <c r="J67" s="75">
        <v>10.89</v>
      </c>
      <c r="K67" s="149">
        <f t="shared" si="109"/>
        <v>13.29</v>
      </c>
      <c r="L67" s="149">
        <f t="shared" si="110"/>
        <v>2033.37</v>
      </c>
      <c r="M67" s="157">
        <f t="shared" si="117"/>
        <v>2033.37</v>
      </c>
      <c r="N67" s="157">
        <f t="shared" si="118"/>
        <v>0</v>
      </c>
      <c r="O67" s="157">
        <f t="shared" si="119"/>
        <v>2033.37</v>
      </c>
      <c r="P67" s="157">
        <f t="shared" si="114"/>
        <v>0</v>
      </c>
      <c r="Q67" s="194">
        <f t="shared" si="22"/>
        <v>0</v>
      </c>
      <c r="R67" s="194">
        <f t="shared" si="23"/>
        <v>100</v>
      </c>
      <c r="S67" s="195">
        <f t="shared" si="24"/>
        <v>0</v>
      </c>
      <c r="T67" s="28">
        <f t="shared" si="6"/>
        <v>2033.37</v>
      </c>
      <c r="Y67" s="67"/>
    </row>
    <row r="68" spans="1:25" customFormat="1" ht="12.75" x14ac:dyDescent="0.2">
      <c r="A68" s="71" t="s">
        <v>172</v>
      </c>
      <c r="B68" s="72" t="s">
        <v>173</v>
      </c>
      <c r="C68" s="71" t="s">
        <v>174</v>
      </c>
      <c r="D68" s="72" t="s">
        <v>71</v>
      </c>
      <c r="E68" s="144">
        <v>62</v>
      </c>
      <c r="F68" s="177">
        <v>56.438000000000002</v>
      </c>
      <c r="G68" s="177"/>
      <c r="H68" s="177">
        <f t="shared" si="115"/>
        <v>56.438000000000002</v>
      </c>
      <c r="I68" s="144">
        <f t="shared" si="116"/>
        <v>5.5619999999999976</v>
      </c>
      <c r="J68" s="75">
        <v>46.2</v>
      </c>
      <c r="K68" s="149">
        <f t="shared" si="109"/>
        <v>56.41</v>
      </c>
      <c r="L68" s="149">
        <f t="shared" si="110"/>
        <v>3497.42</v>
      </c>
      <c r="M68" s="157">
        <f t="shared" si="117"/>
        <v>3183.67</v>
      </c>
      <c r="N68" s="157">
        <f t="shared" si="118"/>
        <v>0</v>
      </c>
      <c r="O68" s="157">
        <f t="shared" si="119"/>
        <v>3183.67</v>
      </c>
      <c r="P68" s="157">
        <f t="shared" si="114"/>
        <v>313.75</v>
      </c>
      <c r="Q68" s="194">
        <f t="shared" si="22"/>
        <v>0</v>
      </c>
      <c r="R68" s="194">
        <f t="shared" si="23"/>
        <v>91.029101451927417</v>
      </c>
      <c r="S68" s="195">
        <f t="shared" si="24"/>
        <v>8.9708985480725776</v>
      </c>
      <c r="T68" s="28">
        <f t="shared" si="6"/>
        <v>3183.67</v>
      </c>
      <c r="Y68" s="67"/>
    </row>
    <row r="69" spans="1:25" customFormat="1" ht="25.5" x14ac:dyDescent="0.2">
      <c r="A69" s="71" t="s">
        <v>175</v>
      </c>
      <c r="B69" s="72" t="s">
        <v>176</v>
      </c>
      <c r="C69" s="76" t="s">
        <v>511</v>
      </c>
      <c r="D69" s="72" t="s">
        <v>71</v>
      </c>
      <c r="E69" s="144">
        <v>857</v>
      </c>
      <c r="F69" s="177">
        <v>602.75377000000003</v>
      </c>
      <c r="G69" s="177">
        <f>G66*1.25</f>
        <v>0</v>
      </c>
      <c r="H69" s="177">
        <f t="shared" si="115"/>
        <v>602.75377000000003</v>
      </c>
      <c r="I69" s="144">
        <f t="shared" si="116"/>
        <v>254.24622999999997</v>
      </c>
      <c r="J69" s="75">
        <v>15.2</v>
      </c>
      <c r="K69" s="149">
        <f t="shared" si="109"/>
        <v>18.559999999999999</v>
      </c>
      <c r="L69" s="149">
        <f t="shared" si="110"/>
        <v>15905.92</v>
      </c>
      <c r="M69" s="157">
        <f t="shared" si="117"/>
        <v>11187.11</v>
      </c>
      <c r="N69" s="157">
        <f t="shared" si="118"/>
        <v>0</v>
      </c>
      <c r="O69" s="157">
        <f t="shared" si="119"/>
        <v>11187.11</v>
      </c>
      <c r="P69" s="157">
        <f t="shared" si="114"/>
        <v>4718.8100000000004</v>
      </c>
      <c r="Q69" s="194">
        <f t="shared" si="22"/>
        <v>0</v>
      </c>
      <c r="R69" s="194">
        <f t="shared" si="23"/>
        <v>70.332995513620091</v>
      </c>
      <c r="S69" s="195">
        <f t="shared" si="24"/>
        <v>29.667004486379916</v>
      </c>
      <c r="T69" s="28">
        <f t="shared" si="6"/>
        <v>11187.11</v>
      </c>
      <c r="Y69" s="67"/>
    </row>
    <row r="70" spans="1:25" customFormat="1" ht="12.75" x14ac:dyDescent="0.2">
      <c r="A70" s="71" t="s">
        <v>177</v>
      </c>
      <c r="B70" s="72" t="s">
        <v>178</v>
      </c>
      <c r="C70" s="76" t="s">
        <v>179</v>
      </c>
      <c r="D70" s="72" t="s">
        <v>71</v>
      </c>
      <c r="E70" s="144">
        <v>616</v>
      </c>
      <c r="F70" s="177">
        <v>151.14375000000001</v>
      </c>
      <c r="G70" s="177">
        <f>G66*1.25</f>
        <v>0</v>
      </c>
      <c r="H70" s="177">
        <f t="shared" si="115"/>
        <v>151.14375000000001</v>
      </c>
      <c r="I70" s="144">
        <f t="shared" si="116"/>
        <v>464.85624999999999</v>
      </c>
      <c r="J70" s="75">
        <v>1.04</v>
      </c>
      <c r="K70" s="149">
        <f t="shared" si="109"/>
        <v>1.26</v>
      </c>
      <c r="L70" s="149">
        <f t="shared" si="110"/>
        <v>776.16</v>
      </c>
      <c r="M70" s="157">
        <f t="shared" si="117"/>
        <v>190.44</v>
      </c>
      <c r="N70" s="157">
        <f t="shared" si="118"/>
        <v>0</v>
      </c>
      <c r="O70" s="157">
        <f t="shared" si="119"/>
        <v>190.44</v>
      </c>
      <c r="P70" s="157">
        <f t="shared" si="114"/>
        <v>585.72</v>
      </c>
      <c r="Q70" s="194">
        <f t="shared" si="22"/>
        <v>0</v>
      </c>
      <c r="R70" s="194">
        <f t="shared" si="23"/>
        <v>24.53617810760668</v>
      </c>
      <c r="S70" s="195">
        <f t="shared" si="24"/>
        <v>75.463821892393327</v>
      </c>
      <c r="T70" s="28">
        <f t="shared" si="6"/>
        <v>190.43999999999994</v>
      </c>
      <c r="Y70" s="67"/>
    </row>
    <row r="71" spans="1:25" customFormat="1" ht="25.5" x14ac:dyDescent="0.2">
      <c r="A71" s="71" t="s">
        <v>180</v>
      </c>
      <c r="B71" s="30"/>
      <c r="C71" s="76" t="s">
        <v>181</v>
      </c>
      <c r="D71" s="72" t="s">
        <v>79</v>
      </c>
      <c r="E71" s="144">
        <v>16847</v>
      </c>
      <c r="F71" s="177">
        <v>5214.4593750000004</v>
      </c>
      <c r="G71" s="177">
        <f>G70*1.5*23</f>
        <v>0</v>
      </c>
      <c r="H71" s="177">
        <f t="shared" si="115"/>
        <v>5214.4593750000004</v>
      </c>
      <c r="I71" s="144">
        <f t="shared" si="116"/>
        <v>11632.540625</v>
      </c>
      <c r="J71" s="75">
        <v>1.24</v>
      </c>
      <c r="K71" s="149">
        <f t="shared" si="109"/>
        <v>1.51</v>
      </c>
      <c r="L71" s="149">
        <f t="shared" si="110"/>
        <v>25438.97</v>
      </c>
      <c r="M71" s="157">
        <f t="shared" si="117"/>
        <v>7873.83</v>
      </c>
      <c r="N71" s="157">
        <f t="shared" si="118"/>
        <v>0</v>
      </c>
      <c r="O71" s="157">
        <f t="shared" si="119"/>
        <v>7873.83</v>
      </c>
      <c r="P71" s="157">
        <f t="shared" si="114"/>
        <v>17565.14</v>
      </c>
      <c r="Q71" s="194">
        <f t="shared" si="22"/>
        <v>0</v>
      </c>
      <c r="R71" s="194">
        <f t="shared" si="23"/>
        <v>30.951842782942862</v>
      </c>
      <c r="S71" s="195">
        <f t="shared" si="24"/>
        <v>69.048157217057124</v>
      </c>
      <c r="T71" s="28">
        <f t="shared" si="6"/>
        <v>7873.8300000000017</v>
      </c>
      <c r="Y71" s="67"/>
    </row>
    <row r="72" spans="1:25" customFormat="1" ht="12.75" x14ac:dyDescent="0.2">
      <c r="A72" s="34" t="s">
        <v>182</v>
      </c>
      <c r="B72" s="35"/>
      <c r="C72" s="34" t="s">
        <v>183</v>
      </c>
      <c r="D72" s="35"/>
      <c r="E72" s="173" t="s">
        <v>41</v>
      </c>
      <c r="F72" s="182"/>
      <c r="G72" s="182"/>
      <c r="H72" s="182"/>
      <c r="I72" s="182"/>
      <c r="J72" s="113" t="s">
        <v>41</v>
      </c>
      <c r="K72" s="153"/>
      <c r="L72" s="165">
        <f>SUM(L73:L112)</f>
        <v>1448946.9300000004</v>
      </c>
      <c r="M72" s="165">
        <f t="shared" ref="M72:P72" si="120">SUM(M73:M112)</f>
        <v>1084966.69</v>
      </c>
      <c r="N72" s="165">
        <f t="shared" si="120"/>
        <v>0</v>
      </c>
      <c r="O72" s="165">
        <f t="shared" si="120"/>
        <v>1084966.69</v>
      </c>
      <c r="P72" s="165">
        <f t="shared" si="120"/>
        <v>363980.23999999993</v>
      </c>
      <c r="Q72" s="205">
        <f t="shared" si="22"/>
        <v>0</v>
      </c>
      <c r="R72" s="205">
        <f t="shared" si="23"/>
        <v>74.879670713681662</v>
      </c>
      <c r="S72" s="206">
        <f t="shared" si="24"/>
        <v>25.120329286318295</v>
      </c>
      <c r="T72" s="28">
        <f t="shared" si="6"/>
        <v>1084966.6900000004</v>
      </c>
      <c r="Y72" s="67"/>
    </row>
    <row r="73" spans="1:25" s="61" customFormat="1" ht="25.5" x14ac:dyDescent="0.2">
      <c r="A73" s="71" t="s">
        <v>184</v>
      </c>
      <c r="B73" s="72">
        <v>2003319</v>
      </c>
      <c r="C73" s="71" t="s">
        <v>185</v>
      </c>
      <c r="D73" s="72" t="s">
        <v>52</v>
      </c>
      <c r="E73" s="145">
        <v>1861.6</v>
      </c>
      <c r="F73" s="180">
        <v>1861.6</v>
      </c>
      <c r="G73" s="180"/>
      <c r="H73" s="180">
        <f t="shared" ref="H73" si="121">F73+G73</f>
        <v>1861.6</v>
      </c>
      <c r="I73" s="145">
        <f>E73-H73</f>
        <v>0</v>
      </c>
      <c r="J73" s="62">
        <v>64.819999999999993</v>
      </c>
      <c r="K73" s="150">
        <f t="shared" ref="K73:K112" si="122">TRUNC(J73*1.2211,2)</f>
        <v>79.150000000000006</v>
      </c>
      <c r="L73" s="150">
        <f t="shared" ref="L73:L112" si="123">TRUNC(E73*K73,2)</f>
        <v>147345.64000000001</v>
      </c>
      <c r="M73" s="158">
        <f t="shared" ref="M73" si="124">ROUND(F73*$K73,2)</f>
        <v>147345.64000000001</v>
      </c>
      <c r="N73" s="158">
        <f t="shared" ref="N73" si="125">ROUND(G73*$K73,2)</f>
        <v>0</v>
      </c>
      <c r="O73" s="158">
        <f t="shared" ref="O73" si="126">ROUND(H73*$K73,2)</f>
        <v>147345.64000000001</v>
      </c>
      <c r="P73" s="158">
        <f t="shared" ref="P73" si="127">ROUND(I73*$K73,2)</f>
        <v>0</v>
      </c>
      <c r="Q73" s="197">
        <f t="shared" si="22"/>
        <v>0</v>
      </c>
      <c r="R73" s="197">
        <f t="shared" si="23"/>
        <v>100</v>
      </c>
      <c r="S73" s="198">
        <f t="shared" si="24"/>
        <v>0</v>
      </c>
      <c r="T73" s="60">
        <f t="shared" si="6"/>
        <v>147345.64000000001</v>
      </c>
      <c r="Y73" s="67"/>
    </row>
    <row r="74" spans="1:25" s="61" customFormat="1" ht="25.5" x14ac:dyDescent="0.2">
      <c r="A74" s="71" t="s">
        <v>186</v>
      </c>
      <c r="B74" s="72">
        <v>2003323</v>
      </c>
      <c r="C74" s="71" t="s">
        <v>187</v>
      </c>
      <c r="D74" s="72" t="s">
        <v>52</v>
      </c>
      <c r="E74" s="145">
        <v>402</v>
      </c>
      <c r="F74" s="180">
        <v>402</v>
      </c>
      <c r="G74" s="180"/>
      <c r="H74" s="180">
        <f t="shared" ref="H74:H112" si="128">F74+G74</f>
        <v>402</v>
      </c>
      <c r="I74" s="145">
        <f t="shared" ref="I74:I112" si="129">E74-H74</f>
        <v>0</v>
      </c>
      <c r="J74" s="62">
        <v>47.51</v>
      </c>
      <c r="K74" s="150">
        <f t="shared" si="122"/>
        <v>58.01</v>
      </c>
      <c r="L74" s="150">
        <f t="shared" si="123"/>
        <v>23320.02</v>
      </c>
      <c r="M74" s="158">
        <f t="shared" ref="M74:M112" si="130">ROUND(F74*$K74,2)</f>
        <v>23320.02</v>
      </c>
      <c r="N74" s="158">
        <f t="shared" ref="N74:N112" si="131">ROUND(G74*$K74,2)</f>
        <v>0</v>
      </c>
      <c r="O74" s="158">
        <f t="shared" ref="O74:O112" si="132">ROUND(H74*$K74,2)</f>
        <v>23320.02</v>
      </c>
      <c r="P74" s="158">
        <f t="shared" ref="P74:P111" si="133">ROUND(I74*$K74,2)</f>
        <v>0</v>
      </c>
      <c r="Q74" s="197">
        <f t="shared" si="22"/>
        <v>0</v>
      </c>
      <c r="R74" s="197">
        <f t="shared" si="23"/>
        <v>100</v>
      </c>
      <c r="S74" s="198">
        <f t="shared" si="24"/>
        <v>0</v>
      </c>
      <c r="T74" s="60">
        <f t="shared" si="6"/>
        <v>23320.02</v>
      </c>
      <c r="Y74" s="67"/>
    </row>
    <row r="75" spans="1:25" customFormat="1" ht="25.5" x14ac:dyDescent="0.2">
      <c r="A75" s="71" t="s">
        <v>188</v>
      </c>
      <c r="B75" s="30">
        <v>2003343</v>
      </c>
      <c r="C75" s="71" t="s">
        <v>189</v>
      </c>
      <c r="D75" s="72" t="s">
        <v>52</v>
      </c>
      <c r="E75" s="144">
        <v>112.5</v>
      </c>
      <c r="F75" s="177">
        <v>112.5</v>
      </c>
      <c r="G75" s="180"/>
      <c r="H75" s="177">
        <f t="shared" si="128"/>
        <v>112.5</v>
      </c>
      <c r="I75" s="145">
        <f t="shared" si="129"/>
        <v>0</v>
      </c>
      <c r="J75" s="75">
        <v>50.15</v>
      </c>
      <c r="K75" s="149">
        <f t="shared" si="122"/>
        <v>61.23</v>
      </c>
      <c r="L75" s="149">
        <f t="shared" si="123"/>
        <v>6888.37</v>
      </c>
      <c r="M75" s="157">
        <v>6888.37</v>
      </c>
      <c r="N75" s="157">
        <f t="shared" si="131"/>
        <v>0</v>
      </c>
      <c r="O75" s="157">
        <f>ROUND(H75*$K75,2)-0.01</f>
        <v>6888.37</v>
      </c>
      <c r="P75" s="157">
        <f>L75-O75</f>
        <v>0</v>
      </c>
      <c r="Q75" s="194">
        <f t="shared" si="22"/>
        <v>0</v>
      </c>
      <c r="R75" s="194">
        <f t="shared" si="23"/>
        <v>100</v>
      </c>
      <c r="S75" s="195">
        <f t="shared" si="24"/>
        <v>0</v>
      </c>
      <c r="T75" s="28">
        <f t="shared" si="6"/>
        <v>6888.37</v>
      </c>
      <c r="Y75" s="67"/>
    </row>
    <row r="76" spans="1:25" customFormat="1" ht="25.5" x14ac:dyDescent="0.2">
      <c r="A76" s="71" t="s">
        <v>190</v>
      </c>
      <c r="B76" s="30">
        <v>2003353</v>
      </c>
      <c r="C76" s="71" t="s">
        <v>191</v>
      </c>
      <c r="D76" s="72" t="s">
        <v>52</v>
      </c>
      <c r="E76" s="144">
        <v>210</v>
      </c>
      <c r="F76" s="177">
        <v>102</v>
      </c>
      <c r="G76" s="180"/>
      <c r="H76" s="177">
        <f t="shared" si="128"/>
        <v>102</v>
      </c>
      <c r="I76" s="145">
        <f t="shared" si="129"/>
        <v>108</v>
      </c>
      <c r="J76" s="75">
        <v>49.39</v>
      </c>
      <c r="K76" s="149">
        <f t="shared" si="122"/>
        <v>60.31</v>
      </c>
      <c r="L76" s="149">
        <f t="shared" si="123"/>
        <v>12665.1</v>
      </c>
      <c r="M76" s="157">
        <f t="shared" si="130"/>
        <v>6151.62</v>
      </c>
      <c r="N76" s="157">
        <f t="shared" si="131"/>
        <v>0</v>
      </c>
      <c r="O76" s="157">
        <f t="shared" si="132"/>
        <v>6151.62</v>
      </c>
      <c r="P76" s="157">
        <f t="shared" si="133"/>
        <v>6513.48</v>
      </c>
      <c r="Q76" s="194">
        <f t="shared" si="22"/>
        <v>0</v>
      </c>
      <c r="R76" s="194">
        <f t="shared" si="23"/>
        <v>48.571428571428569</v>
      </c>
      <c r="S76" s="195">
        <f t="shared" si="24"/>
        <v>51.428571428571423</v>
      </c>
      <c r="T76" s="28">
        <f t="shared" si="6"/>
        <v>6151.6200000000008</v>
      </c>
      <c r="Y76" s="67"/>
    </row>
    <row r="77" spans="1:25" customFormat="1" ht="25.5" x14ac:dyDescent="0.2">
      <c r="A77" s="71" t="s">
        <v>192</v>
      </c>
      <c r="B77" s="30">
        <v>2003355</v>
      </c>
      <c r="C77" s="71" t="s">
        <v>193</v>
      </c>
      <c r="D77" s="72" t="s">
        <v>52</v>
      </c>
      <c r="E77" s="144">
        <v>255</v>
      </c>
      <c r="F77" s="177">
        <v>138</v>
      </c>
      <c r="G77" s="180"/>
      <c r="H77" s="177">
        <f t="shared" si="128"/>
        <v>138</v>
      </c>
      <c r="I77" s="145">
        <f t="shared" si="129"/>
        <v>117</v>
      </c>
      <c r="J77" s="75">
        <v>66.86</v>
      </c>
      <c r="K77" s="149">
        <f t="shared" si="122"/>
        <v>81.64</v>
      </c>
      <c r="L77" s="149">
        <f t="shared" si="123"/>
        <v>20818.2</v>
      </c>
      <c r="M77" s="157">
        <f t="shared" si="130"/>
        <v>11266.32</v>
      </c>
      <c r="N77" s="157">
        <f t="shared" si="131"/>
        <v>0</v>
      </c>
      <c r="O77" s="157">
        <f t="shared" si="132"/>
        <v>11266.32</v>
      </c>
      <c r="P77" s="157">
        <f t="shared" si="133"/>
        <v>9551.8799999999992</v>
      </c>
      <c r="Q77" s="194">
        <f t="shared" si="22"/>
        <v>0</v>
      </c>
      <c r="R77" s="194">
        <f t="shared" si="23"/>
        <v>54.117647058823529</v>
      </c>
      <c r="S77" s="195">
        <f t="shared" si="24"/>
        <v>45.882352941176464</v>
      </c>
      <c r="T77" s="28">
        <f t="shared" si="6"/>
        <v>11266.320000000002</v>
      </c>
      <c r="Y77" s="67"/>
    </row>
    <row r="78" spans="1:25" customFormat="1" ht="25.5" x14ac:dyDescent="0.2">
      <c r="A78" s="71" t="s">
        <v>194</v>
      </c>
      <c r="B78" s="30">
        <v>2003307</v>
      </c>
      <c r="C78" s="71" t="s">
        <v>195</v>
      </c>
      <c r="D78" s="72" t="s">
        <v>52</v>
      </c>
      <c r="E78" s="144">
        <v>149</v>
      </c>
      <c r="F78" s="177">
        <v>117</v>
      </c>
      <c r="G78" s="180"/>
      <c r="H78" s="177">
        <f t="shared" si="128"/>
        <v>117</v>
      </c>
      <c r="I78" s="145">
        <f t="shared" si="129"/>
        <v>32</v>
      </c>
      <c r="J78" s="75">
        <v>97.46</v>
      </c>
      <c r="K78" s="149">
        <f t="shared" si="122"/>
        <v>119</v>
      </c>
      <c r="L78" s="149">
        <f t="shared" si="123"/>
        <v>17731</v>
      </c>
      <c r="M78" s="157">
        <f t="shared" si="130"/>
        <v>13923</v>
      </c>
      <c r="N78" s="157">
        <f t="shared" si="131"/>
        <v>0</v>
      </c>
      <c r="O78" s="157">
        <f t="shared" si="132"/>
        <v>13923</v>
      </c>
      <c r="P78" s="157">
        <f t="shared" si="133"/>
        <v>3808</v>
      </c>
      <c r="Q78" s="194">
        <f t="shared" si="22"/>
        <v>0</v>
      </c>
      <c r="R78" s="194">
        <f t="shared" si="23"/>
        <v>78.523489932885909</v>
      </c>
      <c r="S78" s="195">
        <f t="shared" si="24"/>
        <v>21.476510067114095</v>
      </c>
      <c r="T78" s="28">
        <f t="shared" ref="T78:T141" si="134">L78-P78</f>
        <v>13923</v>
      </c>
      <c r="Y78" s="67"/>
    </row>
    <row r="79" spans="1:25" s="61" customFormat="1" ht="25.5" x14ac:dyDescent="0.2">
      <c r="A79" s="71" t="s">
        <v>196</v>
      </c>
      <c r="B79" s="72">
        <v>2003373</v>
      </c>
      <c r="C79" s="71" t="s">
        <v>197</v>
      </c>
      <c r="D79" s="72" t="s">
        <v>52</v>
      </c>
      <c r="E79" s="145">
        <v>3450.2</v>
      </c>
      <c r="F79" s="180">
        <v>0</v>
      </c>
      <c r="G79" s="180"/>
      <c r="H79" s="180">
        <f t="shared" si="128"/>
        <v>0</v>
      </c>
      <c r="I79" s="145">
        <f t="shared" si="129"/>
        <v>3450.2</v>
      </c>
      <c r="J79" s="62">
        <v>24.92</v>
      </c>
      <c r="K79" s="150">
        <f t="shared" si="122"/>
        <v>30.42</v>
      </c>
      <c r="L79" s="150">
        <f t="shared" si="123"/>
        <v>104955.08</v>
      </c>
      <c r="M79" s="158">
        <f t="shared" si="130"/>
        <v>0</v>
      </c>
      <c r="N79" s="158">
        <f t="shared" si="131"/>
        <v>0</v>
      </c>
      <c r="O79" s="158">
        <f t="shared" si="132"/>
        <v>0</v>
      </c>
      <c r="P79" s="158">
        <f t="shared" si="133"/>
        <v>104955.08</v>
      </c>
      <c r="Q79" s="197">
        <f t="shared" si="22"/>
        <v>0</v>
      </c>
      <c r="R79" s="197">
        <f t="shared" si="23"/>
        <v>0</v>
      </c>
      <c r="S79" s="198">
        <f t="shared" si="24"/>
        <v>100</v>
      </c>
      <c r="T79" s="60">
        <f t="shared" si="134"/>
        <v>0</v>
      </c>
      <c r="Y79" s="67"/>
    </row>
    <row r="80" spans="1:25" s="61" customFormat="1" ht="25.5" x14ac:dyDescent="0.2">
      <c r="A80" s="71" t="s">
        <v>198</v>
      </c>
      <c r="B80" s="72">
        <v>2003377</v>
      </c>
      <c r="C80" s="71" t="s">
        <v>199</v>
      </c>
      <c r="D80" s="72" t="s">
        <v>52</v>
      </c>
      <c r="E80" s="145">
        <v>1432</v>
      </c>
      <c r="F80" s="180">
        <v>1432</v>
      </c>
      <c r="G80" s="180"/>
      <c r="H80" s="180">
        <f t="shared" si="128"/>
        <v>1432</v>
      </c>
      <c r="I80" s="145">
        <f t="shared" si="129"/>
        <v>0</v>
      </c>
      <c r="J80" s="62">
        <v>21.8</v>
      </c>
      <c r="K80" s="150">
        <f t="shared" si="122"/>
        <v>26.61</v>
      </c>
      <c r="L80" s="150">
        <f t="shared" si="123"/>
        <v>38105.519999999997</v>
      </c>
      <c r="M80" s="158">
        <f t="shared" si="130"/>
        <v>38105.519999999997</v>
      </c>
      <c r="N80" s="158">
        <f t="shared" si="131"/>
        <v>0</v>
      </c>
      <c r="O80" s="158">
        <f t="shared" si="132"/>
        <v>38105.519999999997</v>
      </c>
      <c r="P80" s="158">
        <f t="shared" si="133"/>
        <v>0</v>
      </c>
      <c r="Q80" s="197">
        <f t="shared" si="22"/>
        <v>0</v>
      </c>
      <c r="R80" s="197">
        <f t="shared" si="23"/>
        <v>100</v>
      </c>
      <c r="S80" s="198">
        <f t="shared" si="24"/>
        <v>0</v>
      </c>
      <c r="T80" s="60">
        <f t="shared" si="134"/>
        <v>38105.519999999997</v>
      </c>
      <c r="Y80" s="67"/>
    </row>
    <row r="81" spans="1:25" s="61" customFormat="1" ht="25.5" x14ac:dyDescent="0.2">
      <c r="A81" s="71" t="s">
        <v>200</v>
      </c>
      <c r="B81" s="72">
        <v>2003385</v>
      </c>
      <c r="C81" s="71" t="s">
        <v>201</v>
      </c>
      <c r="D81" s="72" t="s">
        <v>202</v>
      </c>
      <c r="E81" s="145">
        <v>53</v>
      </c>
      <c r="F81" s="180">
        <v>53</v>
      </c>
      <c r="G81" s="180"/>
      <c r="H81" s="180">
        <f t="shared" si="128"/>
        <v>53</v>
      </c>
      <c r="I81" s="145">
        <f t="shared" si="129"/>
        <v>0</v>
      </c>
      <c r="J81" s="62">
        <v>44.42</v>
      </c>
      <c r="K81" s="150">
        <f t="shared" si="122"/>
        <v>54.24</v>
      </c>
      <c r="L81" s="150">
        <f t="shared" si="123"/>
        <v>2874.72</v>
      </c>
      <c r="M81" s="158">
        <f t="shared" si="130"/>
        <v>2874.72</v>
      </c>
      <c r="N81" s="158">
        <f t="shared" si="131"/>
        <v>0</v>
      </c>
      <c r="O81" s="158">
        <f t="shared" si="132"/>
        <v>2874.72</v>
      </c>
      <c r="P81" s="158">
        <f t="shared" si="133"/>
        <v>0</v>
      </c>
      <c r="Q81" s="197">
        <f t="shared" si="22"/>
        <v>0</v>
      </c>
      <c r="R81" s="197">
        <f t="shared" si="23"/>
        <v>100</v>
      </c>
      <c r="S81" s="198">
        <f t="shared" si="24"/>
        <v>0</v>
      </c>
      <c r="T81" s="60">
        <f t="shared" si="134"/>
        <v>2874.72</v>
      </c>
      <c r="Y81" s="67"/>
    </row>
    <row r="82" spans="1:25" customFormat="1" ht="25.5" x14ac:dyDescent="0.2">
      <c r="A82" s="71" t="s">
        <v>203</v>
      </c>
      <c r="B82" s="30">
        <v>2003387</v>
      </c>
      <c r="C82" s="71" t="s">
        <v>204</v>
      </c>
      <c r="D82" s="72" t="s">
        <v>202</v>
      </c>
      <c r="E82" s="144">
        <v>13</v>
      </c>
      <c r="F82" s="177">
        <v>11</v>
      </c>
      <c r="G82" s="183"/>
      <c r="H82" s="177">
        <f t="shared" si="128"/>
        <v>11</v>
      </c>
      <c r="I82" s="145">
        <f t="shared" si="129"/>
        <v>2</v>
      </c>
      <c r="J82" s="75">
        <v>54.61</v>
      </c>
      <c r="K82" s="149">
        <f t="shared" si="122"/>
        <v>66.680000000000007</v>
      </c>
      <c r="L82" s="149">
        <f t="shared" si="123"/>
        <v>866.84</v>
      </c>
      <c r="M82" s="157">
        <f t="shared" si="130"/>
        <v>733.48</v>
      </c>
      <c r="N82" s="157">
        <f t="shared" si="131"/>
        <v>0</v>
      </c>
      <c r="O82" s="157">
        <f t="shared" si="132"/>
        <v>733.48</v>
      </c>
      <c r="P82" s="157">
        <f t="shared" si="133"/>
        <v>133.36000000000001</v>
      </c>
      <c r="Q82" s="194">
        <f t="shared" si="22"/>
        <v>0</v>
      </c>
      <c r="R82" s="194">
        <f t="shared" si="23"/>
        <v>84.615384615384613</v>
      </c>
      <c r="S82" s="195">
        <f t="shared" si="24"/>
        <v>15.384615384615385</v>
      </c>
      <c r="T82" s="28">
        <f t="shared" si="134"/>
        <v>733.48</v>
      </c>
      <c r="Y82" s="67"/>
    </row>
    <row r="83" spans="1:25" customFormat="1" ht="25.5" x14ac:dyDescent="0.2">
      <c r="A83" s="71" t="s">
        <v>205</v>
      </c>
      <c r="B83" s="30">
        <v>2003361</v>
      </c>
      <c r="C83" s="71" t="s">
        <v>206</v>
      </c>
      <c r="D83" s="72" t="s">
        <v>52</v>
      </c>
      <c r="E83" s="144">
        <v>163</v>
      </c>
      <c r="F83" s="177">
        <v>0</v>
      </c>
      <c r="G83" s="184"/>
      <c r="H83" s="177">
        <f t="shared" si="128"/>
        <v>0</v>
      </c>
      <c r="I83" s="145">
        <f t="shared" si="129"/>
        <v>163</v>
      </c>
      <c r="J83" s="75">
        <v>511.23</v>
      </c>
      <c r="K83" s="149">
        <f t="shared" si="122"/>
        <v>624.26</v>
      </c>
      <c r="L83" s="149">
        <f t="shared" si="123"/>
        <v>101754.38</v>
      </c>
      <c r="M83" s="157">
        <f t="shared" si="130"/>
        <v>0</v>
      </c>
      <c r="N83" s="157">
        <f t="shared" si="131"/>
        <v>0</v>
      </c>
      <c r="O83" s="157">
        <f t="shared" si="132"/>
        <v>0</v>
      </c>
      <c r="P83" s="157">
        <f t="shared" si="133"/>
        <v>101754.38</v>
      </c>
      <c r="Q83" s="194">
        <f t="shared" si="22"/>
        <v>0</v>
      </c>
      <c r="R83" s="194">
        <f t="shared" si="23"/>
        <v>0</v>
      </c>
      <c r="S83" s="195">
        <f t="shared" si="24"/>
        <v>100</v>
      </c>
      <c r="T83" s="28">
        <f t="shared" si="134"/>
        <v>0</v>
      </c>
      <c r="Y83" s="67"/>
    </row>
    <row r="84" spans="1:25" customFormat="1" ht="25.5" x14ac:dyDescent="0.2">
      <c r="A84" s="71" t="s">
        <v>207</v>
      </c>
      <c r="B84" s="72">
        <v>2003407</v>
      </c>
      <c r="C84" s="31" t="s">
        <v>208</v>
      </c>
      <c r="D84" s="72" t="s">
        <v>52</v>
      </c>
      <c r="E84" s="144">
        <v>212</v>
      </c>
      <c r="F84" s="177">
        <v>81.599999999999994</v>
      </c>
      <c r="G84" s="183"/>
      <c r="H84" s="177">
        <f t="shared" si="128"/>
        <v>81.599999999999994</v>
      </c>
      <c r="I84" s="145">
        <f t="shared" si="129"/>
        <v>130.4</v>
      </c>
      <c r="J84" s="75">
        <v>241.23</v>
      </c>
      <c r="K84" s="149">
        <f t="shared" si="122"/>
        <v>294.56</v>
      </c>
      <c r="L84" s="149">
        <f t="shared" si="123"/>
        <v>62446.720000000001</v>
      </c>
      <c r="M84" s="157">
        <f t="shared" si="130"/>
        <v>24036.1</v>
      </c>
      <c r="N84" s="157">
        <f t="shared" si="131"/>
        <v>0</v>
      </c>
      <c r="O84" s="157">
        <f t="shared" si="132"/>
        <v>24036.1</v>
      </c>
      <c r="P84" s="157">
        <f t="shared" si="133"/>
        <v>38410.620000000003</v>
      </c>
      <c r="Q84" s="194">
        <f t="shared" si="22"/>
        <v>0</v>
      </c>
      <c r="R84" s="194">
        <f t="shared" si="23"/>
        <v>38.490572443196378</v>
      </c>
      <c r="S84" s="195">
        <f t="shared" si="24"/>
        <v>61.509427556803629</v>
      </c>
      <c r="T84" s="28">
        <f t="shared" si="134"/>
        <v>24036.1</v>
      </c>
      <c r="Y84" s="67"/>
    </row>
    <row r="85" spans="1:25" customFormat="1" ht="25.5" x14ac:dyDescent="0.2">
      <c r="A85" s="31" t="s">
        <v>209</v>
      </c>
      <c r="B85" s="30">
        <v>2003393</v>
      </c>
      <c r="C85" s="32" t="s">
        <v>210</v>
      </c>
      <c r="D85" s="72" t="s">
        <v>52</v>
      </c>
      <c r="E85" s="144">
        <v>61.5</v>
      </c>
      <c r="F85" s="144">
        <v>61.498699999999999</v>
      </c>
      <c r="G85" s="145"/>
      <c r="H85" s="144">
        <f t="shared" si="128"/>
        <v>61.498699999999999</v>
      </c>
      <c r="I85" s="145">
        <f t="shared" si="129"/>
        <v>1.300000000000523E-3</v>
      </c>
      <c r="J85" s="75">
        <v>218.87</v>
      </c>
      <c r="K85" s="149">
        <f t="shared" si="122"/>
        <v>267.26</v>
      </c>
      <c r="L85" s="149">
        <f t="shared" si="123"/>
        <v>16436.490000000002</v>
      </c>
      <c r="M85" s="157">
        <f t="shared" si="130"/>
        <v>16436.14</v>
      </c>
      <c r="N85" s="157">
        <f t="shared" si="131"/>
        <v>0</v>
      </c>
      <c r="O85" s="157">
        <f t="shared" si="132"/>
        <v>16436.14</v>
      </c>
      <c r="P85" s="157">
        <f t="shared" si="133"/>
        <v>0.35</v>
      </c>
      <c r="Q85" s="194">
        <f t="shared" si="22"/>
        <v>0</v>
      </c>
      <c r="R85" s="194">
        <f t="shared" si="23"/>
        <v>99.997870591592232</v>
      </c>
      <c r="S85" s="195">
        <f t="shared" si="24"/>
        <v>2.1294084077561571E-3</v>
      </c>
      <c r="T85" s="28">
        <f t="shared" si="134"/>
        <v>16436.140000000003</v>
      </c>
      <c r="Y85" s="67"/>
    </row>
    <row r="86" spans="1:25" customFormat="1" ht="25.5" x14ac:dyDescent="0.2">
      <c r="A86" s="31" t="s">
        <v>211</v>
      </c>
      <c r="B86" s="30">
        <v>2003449</v>
      </c>
      <c r="C86" s="32" t="s">
        <v>212</v>
      </c>
      <c r="D86" s="72" t="s">
        <v>202</v>
      </c>
      <c r="E86" s="144">
        <v>30</v>
      </c>
      <c r="F86" s="177">
        <v>14</v>
      </c>
      <c r="G86" s="180"/>
      <c r="H86" s="177">
        <f t="shared" si="128"/>
        <v>14</v>
      </c>
      <c r="I86" s="145">
        <f t="shared" si="129"/>
        <v>16</v>
      </c>
      <c r="J86" s="75">
        <v>388.49</v>
      </c>
      <c r="K86" s="149">
        <f t="shared" si="122"/>
        <v>474.38</v>
      </c>
      <c r="L86" s="149">
        <f t="shared" si="123"/>
        <v>14231.4</v>
      </c>
      <c r="M86" s="157">
        <f t="shared" si="130"/>
        <v>6641.32</v>
      </c>
      <c r="N86" s="157">
        <f t="shared" si="131"/>
        <v>0</v>
      </c>
      <c r="O86" s="157">
        <f t="shared" si="132"/>
        <v>6641.32</v>
      </c>
      <c r="P86" s="157">
        <f t="shared" si="133"/>
        <v>7590.08</v>
      </c>
      <c r="Q86" s="194">
        <f t="shared" si="22"/>
        <v>0</v>
      </c>
      <c r="R86" s="194">
        <f t="shared" si="23"/>
        <v>46.666666666666664</v>
      </c>
      <c r="S86" s="195">
        <f t="shared" si="24"/>
        <v>53.333333333333336</v>
      </c>
      <c r="T86" s="28">
        <f t="shared" si="134"/>
        <v>6641.32</v>
      </c>
      <c r="Y86" s="67"/>
    </row>
    <row r="87" spans="1:25" customFormat="1" ht="25.5" x14ac:dyDescent="0.2">
      <c r="A87" s="31" t="s">
        <v>213</v>
      </c>
      <c r="B87" s="30">
        <v>2003451</v>
      </c>
      <c r="C87" s="32" t="s">
        <v>214</v>
      </c>
      <c r="D87" s="72" t="s">
        <v>202</v>
      </c>
      <c r="E87" s="144">
        <v>26</v>
      </c>
      <c r="F87" s="177">
        <v>26</v>
      </c>
      <c r="G87" s="180"/>
      <c r="H87" s="177">
        <f t="shared" si="128"/>
        <v>26</v>
      </c>
      <c r="I87" s="145">
        <f t="shared" si="129"/>
        <v>0</v>
      </c>
      <c r="J87" s="75">
        <v>399.25</v>
      </c>
      <c r="K87" s="149">
        <f t="shared" si="122"/>
        <v>487.52</v>
      </c>
      <c r="L87" s="149">
        <f t="shared" si="123"/>
        <v>12675.52</v>
      </c>
      <c r="M87" s="157">
        <f t="shared" si="130"/>
        <v>12675.52</v>
      </c>
      <c r="N87" s="157">
        <f t="shared" si="131"/>
        <v>0</v>
      </c>
      <c r="O87" s="157">
        <f t="shared" si="132"/>
        <v>12675.52</v>
      </c>
      <c r="P87" s="157">
        <f t="shared" si="133"/>
        <v>0</v>
      </c>
      <c r="Q87" s="194">
        <f t="shared" ref="Q87:Q150" si="135">N87/L87*100</f>
        <v>0</v>
      </c>
      <c r="R87" s="194">
        <f t="shared" ref="R87:R150" si="136">O87/L87*100</f>
        <v>100</v>
      </c>
      <c r="S87" s="195">
        <f t="shared" ref="S87:S150" si="137">P87/L87*100</f>
        <v>0</v>
      </c>
      <c r="T87" s="28">
        <f t="shared" si="134"/>
        <v>12675.52</v>
      </c>
      <c r="Y87" s="67"/>
    </row>
    <row r="88" spans="1:25" s="228" customFormat="1" ht="25.5" x14ac:dyDescent="0.2">
      <c r="A88" s="258" t="s">
        <v>215</v>
      </c>
      <c r="B88" s="259">
        <v>2003453</v>
      </c>
      <c r="C88" s="260" t="s">
        <v>216</v>
      </c>
      <c r="D88" s="219" t="s">
        <v>202</v>
      </c>
      <c r="E88" s="220">
        <v>2</v>
      </c>
      <c r="F88" s="221">
        <v>2</v>
      </c>
      <c r="G88" s="261"/>
      <c r="H88" s="221">
        <f t="shared" si="128"/>
        <v>2</v>
      </c>
      <c r="I88" s="262">
        <f t="shared" si="129"/>
        <v>0</v>
      </c>
      <c r="J88" s="222">
        <v>1221.17</v>
      </c>
      <c r="K88" s="223">
        <f t="shared" si="122"/>
        <v>1491.17</v>
      </c>
      <c r="L88" s="223">
        <f t="shared" si="123"/>
        <v>2982.34</v>
      </c>
      <c r="M88" s="224">
        <f t="shared" si="130"/>
        <v>2982.34</v>
      </c>
      <c r="N88" s="224">
        <f t="shared" si="131"/>
        <v>0</v>
      </c>
      <c r="O88" s="224">
        <f t="shared" si="132"/>
        <v>2982.34</v>
      </c>
      <c r="P88" s="224">
        <f t="shared" si="133"/>
        <v>0</v>
      </c>
      <c r="Q88" s="225">
        <f t="shared" si="135"/>
        <v>0</v>
      </c>
      <c r="R88" s="225">
        <f t="shared" si="136"/>
        <v>100</v>
      </c>
      <c r="S88" s="226">
        <f t="shared" si="137"/>
        <v>0</v>
      </c>
      <c r="T88" s="227">
        <f t="shared" si="134"/>
        <v>2982.34</v>
      </c>
      <c r="Y88" s="229"/>
    </row>
    <row r="89" spans="1:25" customFormat="1" ht="25.5" x14ac:dyDescent="0.2">
      <c r="A89" s="31" t="s">
        <v>217</v>
      </c>
      <c r="B89" s="30">
        <v>2003455</v>
      </c>
      <c r="C89" s="32" t="s">
        <v>218</v>
      </c>
      <c r="D89" s="72" t="s">
        <v>202</v>
      </c>
      <c r="E89" s="144">
        <v>6</v>
      </c>
      <c r="F89" s="177">
        <v>6</v>
      </c>
      <c r="G89" s="180"/>
      <c r="H89" s="177">
        <f t="shared" si="128"/>
        <v>6</v>
      </c>
      <c r="I89" s="145">
        <f t="shared" si="129"/>
        <v>0</v>
      </c>
      <c r="J89" s="75">
        <v>1729.7</v>
      </c>
      <c r="K89" s="149">
        <f t="shared" si="122"/>
        <v>2112.13</v>
      </c>
      <c r="L89" s="149">
        <f t="shared" si="123"/>
        <v>12672.78</v>
      </c>
      <c r="M89" s="157">
        <f t="shared" si="130"/>
        <v>12672.78</v>
      </c>
      <c r="N89" s="157">
        <f t="shared" si="131"/>
        <v>0</v>
      </c>
      <c r="O89" s="157">
        <f t="shared" si="132"/>
        <v>12672.78</v>
      </c>
      <c r="P89" s="157">
        <f t="shared" si="133"/>
        <v>0</v>
      </c>
      <c r="Q89" s="194">
        <f t="shared" si="135"/>
        <v>0</v>
      </c>
      <c r="R89" s="194">
        <f t="shared" si="136"/>
        <v>100</v>
      </c>
      <c r="S89" s="195">
        <f t="shared" si="137"/>
        <v>0</v>
      </c>
      <c r="T89" s="28">
        <f t="shared" si="134"/>
        <v>12672.78</v>
      </c>
      <c r="Y89" s="67"/>
    </row>
    <row r="90" spans="1:25" customFormat="1" ht="25.5" x14ac:dyDescent="0.2">
      <c r="A90" s="31" t="s">
        <v>219</v>
      </c>
      <c r="B90" s="30">
        <v>2003459</v>
      </c>
      <c r="C90" s="32" t="s">
        <v>220</v>
      </c>
      <c r="D90" s="72" t="s">
        <v>202</v>
      </c>
      <c r="E90" s="144">
        <v>13</v>
      </c>
      <c r="F90" s="177">
        <v>4</v>
      </c>
      <c r="G90" s="180"/>
      <c r="H90" s="177">
        <f t="shared" si="128"/>
        <v>4</v>
      </c>
      <c r="I90" s="145">
        <f t="shared" si="129"/>
        <v>9</v>
      </c>
      <c r="J90" s="75">
        <v>2946.95</v>
      </c>
      <c r="K90" s="149">
        <f t="shared" si="122"/>
        <v>3598.52</v>
      </c>
      <c r="L90" s="149">
        <f t="shared" si="123"/>
        <v>46780.76</v>
      </c>
      <c r="M90" s="157">
        <f t="shared" si="130"/>
        <v>14394.08</v>
      </c>
      <c r="N90" s="157">
        <f t="shared" si="131"/>
        <v>0</v>
      </c>
      <c r="O90" s="157">
        <f t="shared" si="132"/>
        <v>14394.08</v>
      </c>
      <c r="P90" s="157">
        <f t="shared" si="133"/>
        <v>32386.68</v>
      </c>
      <c r="Q90" s="194">
        <f t="shared" si="135"/>
        <v>0</v>
      </c>
      <c r="R90" s="194">
        <f t="shared" si="136"/>
        <v>30.769230769230766</v>
      </c>
      <c r="S90" s="195">
        <f t="shared" si="137"/>
        <v>69.230769230769226</v>
      </c>
      <c r="T90" s="28">
        <f t="shared" si="134"/>
        <v>14394.080000000002</v>
      </c>
      <c r="Y90" s="67"/>
    </row>
    <row r="91" spans="1:25" customFormat="1" ht="25.5" x14ac:dyDescent="0.2">
      <c r="A91" s="31" t="s">
        <v>221</v>
      </c>
      <c r="B91" s="30">
        <v>2003465</v>
      </c>
      <c r="C91" s="32" t="s">
        <v>222</v>
      </c>
      <c r="D91" s="72" t="s">
        <v>202</v>
      </c>
      <c r="E91" s="144">
        <v>1</v>
      </c>
      <c r="F91" s="177">
        <v>0</v>
      </c>
      <c r="G91" s="180"/>
      <c r="H91" s="177">
        <f t="shared" si="128"/>
        <v>0</v>
      </c>
      <c r="I91" s="145">
        <f t="shared" si="129"/>
        <v>1</v>
      </c>
      <c r="J91" s="75">
        <v>3844.08</v>
      </c>
      <c r="K91" s="149">
        <f t="shared" si="122"/>
        <v>4694</v>
      </c>
      <c r="L91" s="149">
        <f t="shared" si="123"/>
        <v>4694</v>
      </c>
      <c r="M91" s="157">
        <f t="shared" si="130"/>
        <v>0</v>
      </c>
      <c r="N91" s="157">
        <f t="shared" si="131"/>
        <v>0</v>
      </c>
      <c r="O91" s="157">
        <f t="shared" si="132"/>
        <v>0</v>
      </c>
      <c r="P91" s="157">
        <f t="shared" si="133"/>
        <v>4694</v>
      </c>
      <c r="Q91" s="194">
        <f t="shared" si="135"/>
        <v>0</v>
      </c>
      <c r="R91" s="194">
        <f t="shared" si="136"/>
        <v>0</v>
      </c>
      <c r="S91" s="195">
        <f t="shared" si="137"/>
        <v>100</v>
      </c>
      <c r="T91" s="28">
        <f t="shared" si="134"/>
        <v>0</v>
      </c>
      <c r="Y91" s="67"/>
    </row>
    <row r="92" spans="1:25" customFormat="1" ht="25.5" x14ac:dyDescent="0.2">
      <c r="A92" s="31" t="s">
        <v>223</v>
      </c>
      <c r="B92" s="30">
        <v>2003445</v>
      </c>
      <c r="C92" s="32" t="s">
        <v>224</v>
      </c>
      <c r="D92" s="72" t="s">
        <v>202</v>
      </c>
      <c r="E92" s="144">
        <v>12</v>
      </c>
      <c r="F92" s="177">
        <v>5</v>
      </c>
      <c r="G92" s="180"/>
      <c r="H92" s="177">
        <f t="shared" si="128"/>
        <v>5</v>
      </c>
      <c r="I92" s="145">
        <f t="shared" si="129"/>
        <v>7</v>
      </c>
      <c r="J92" s="75">
        <v>256.75</v>
      </c>
      <c r="K92" s="149">
        <f t="shared" si="122"/>
        <v>313.51</v>
      </c>
      <c r="L92" s="149">
        <f t="shared" si="123"/>
        <v>3762.12</v>
      </c>
      <c r="M92" s="157">
        <f t="shared" si="130"/>
        <v>1567.55</v>
      </c>
      <c r="N92" s="157">
        <f t="shared" si="131"/>
        <v>0</v>
      </c>
      <c r="O92" s="157">
        <f t="shared" si="132"/>
        <v>1567.55</v>
      </c>
      <c r="P92" s="157">
        <f t="shared" si="133"/>
        <v>2194.5700000000002</v>
      </c>
      <c r="Q92" s="194">
        <f t="shared" si="135"/>
        <v>0</v>
      </c>
      <c r="R92" s="194">
        <f t="shared" si="136"/>
        <v>41.666666666666671</v>
      </c>
      <c r="S92" s="195">
        <f t="shared" si="137"/>
        <v>58.333333333333336</v>
      </c>
      <c r="T92" s="28">
        <f t="shared" si="134"/>
        <v>1567.5499999999997</v>
      </c>
      <c r="Y92" s="67"/>
    </row>
    <row r="93" spans="1:25" customFormat="1" ht="25.5" x14ac:dyDescent="0.2">
      <c r="A93" s="31" t="s">
        <v>225</v>
      </c>
      <c r="B93" s="30">
        <v>2003443</v>
      </c>
      <c r="C93" s="32" t="s">
        <v>226</v>
      </c>
      <c r="D93" s="72" t="s">
        <v>202</v>
      </c>
      <c r="E93" s="144">
        <v>1</v>
      </c>
      <c r="F93" s="177">
        <v>0</v>
      </c>
      <c r="G93" s="180"/>
      <c r="H93" s="177">
        <f t="shared" si="128"/>
        <v>0</v>
      </c>
      <c r="I93" s="145">
        <f t="shared" si="129"/>
        <v>1</v>
      </c>
      <c r="J93" s="75">
        <v>215.06</v>
      </c>
      <c r="K93" s="149">
        <f t="shared" si="122"/>
        <v>262.60000000000002</v>
      </c>
      <c r="L93" s="149">
        <f t="shared" si="123"/>
        <v>262.60000000000002</v>
      </c>
      <c r="M93" s="157">
        <f t="shared" si="130"/>
        <v>0</v>
      </c>
      <c r="N93" s="157">
        <f t="shared" si="131"/>
        <v>0</v>
      </c>
      <c r="O93" s="157">
        <f t="shared" si="132"/>
        <v>0</v>
      </c>
      <c r="P93" s="157">
        <f t="shared" si="133"/>
        <v>262.60000000000002</v>
      </c>
      <c r="Q93" s="194">
        <f t="shared" si="135"/>
        <v>0</v>
      </c>
      <c r="R93" s="194">
        <f t="shared" si="136"/>
        <v>0</v>
      </c>
      <c r="S93" s="195">
        <f t="shared" si="137"/>
        <v>100</v>
      </c>
      <c r="T93" s="28">
        <f t="shared" si="134"/>
        <v>0</v>
      </c>
      <c r="Y93" s="67"/>
    </row>
    <row r="94" spans="1:25" customFormat="1" ht="25.5" x14ac:dyDescent="0.2">
      <c r="A94" s="31" t="s">
        <v>227</v>
      </c>
      <c r="B94" s="30">
        <v>2003730</v>
      </c>
      <c r="C94" s="32" t="s">
        <v>228</v>
      </c>
      <c r="D94" s="72" t="s">
        <v>202</v>
      </c>
      <c r="E94" s="144">
        <v>3</v>
      </c>
      <c r="F94" s="177">
        <v>1</v>
      </c>
      <c r="G94" s="180"/>
      <c r="H94" s="177">
        <f t="shared" si="128"/>
        <v>1</v>
      </c>
      <c r="I94" s="145">
        <f t="shared" si="129"/>
        <v>2</v>
      </c>
      <c r="J94" s="75">
        <v>3014.81</v>
      </c>
      <c r="K94" s="149">
        <f t="shared" si="122"/>
        <v>3681.38</v>
      </c>
      <c r="L94" s="149">
        <f t="shared" si="123"/>
        <v>11044.14</v>
      </c>
      <c r="M94" s="157">
        <f t="shared" si="130"/>
        <v>3681.38</v>
      </c>
      <c r="N94" s="157">
        <f t="shared" si="131"/>
        <v>0</v>
      </c>
      <c r="O94" s="157">
        <f t="shared" si="132"/>
        <v>3681.38</v>
      </c>
      <c r="P94" s="157">
        <f t="shared" si="133"/>
        <v>7362.76</v>
      </c>
      <c r="Q94" s="194">
        <f t="shared" si="135"/>
        <v>0</v>
      </c>
      <c r="R94" s="194">
        <f t="shared" si="136"/>
        <v>33.333333333333336</v>
      </c>
      <c r="S94" s="195">
        <f t="shared" si="137"/>
        <v>66.666666666666671</v>
      </c>
      <c r="T94" s="28">
        <f t="shared" si="134"/>
        <v>3681.3799999999992</v>
      </c>
      <c r="Y94" s="67"/>
    </row>
    <row r="95" spans="1:25" customFormat="1" ht="25.5" x14ac:dyDescent="0.2">
      <c r="A95" s="31" t="s">
        <v>229</v>
      </c>
      <c r="B95" s="30">
        <v>2003734</v>
      </c>
      <c r="C95" s="32" t="s">
        <v>230</v>
      </c>
      <c r="D95" s="72" t="s">
        <v>202</v>
      </c>
      <c r="E95" s="144">
        <v>10</v>
      </c>
      <c r="F95" s="177">
        <v>6</v>
      </c>
      <c r="G95" s="180"/>
      <c r="H95" s="177">
        <f t="shared" si="128"/>
        <v>6</v>
      </c>
      <c r="I95" s="145">
        <f t="shared" si="129"/>
        <v>4</v>
      </c>
      <c r="J95" s="75">
        <v>2946.92</v>
      </c>
      <c r="K95" s="149">
        <f t="shared" si="122"/>
        <v>3598.48</v>
      </c>
      <c r="L95" s="149">
        <f t="shared" si="123"/>
        <v>35984.800000000003</v>
      </c>
      <c r="M95" s="157">
        <f t="shared" si="130"/>
        <v>21590.880000000001</v>
      </c>
      <c r="N95" s="157">
        <f t="shared" si="131"/>
        <v>0</v>
      </c>
      <c r="O95" s="157">
        <f t="shared" si="132"/>
        <v>21590.880000000001</v>
      </c>
      <c r="P95" s="157">
        <f t="shared" si="133"/>
        <v>14393.92</v>
      </c>
      <c r="Q95" s="194">
        <f t="shared" si="135"/>
        <v>0</v>
      </c>
      <c r="R95" s="194">
        <f t="shared" si="136"/>
        <v>60</v>
      </c>
      <c r="S95" s="195">
        <f t="shared" si="137"/>
        <v>40</v>
      </c>
      <c r="T95" s="28">
        <f t="shared" si="134"/>
        <v>21590.880000000005</v>
      </c>
      <c r="Y95" s="67"/>
    </row>
    <row r="96" spans="1:25" customFormat="1" ht="25.5" x14ac:dyDescent="0.2">
      <c r="A96" s="31" t="s">
        <v>231</v>
      </c>
      <c r="B96" s="30">
        <v>2003738</v>
      </c>
      <c r="C96" s="32" t="s">
        <v>232</v>
      </c>
      <c r="D96" s="72" t="s">
        <v>202</v>
      </c>
      <c r="E96" s="144">
        <v>1</v>
      </c>
      <c r="F96" s="177">
        <v>1</v>
      </c>
      <c r="G96" s="180"/>
      <c r="H96" s="177">
        <f t="shared" si="128"/>
        <v>1</v>
      </c>
      <c r="I96" s="145">
        <f t="shared" si="129"/>
        <v>0</v>
      </c>
      <c r="J96" s="75">
        <v>3971.3</v>
      </c>
      <c r="K96" s="149">
        <f t="shared" si="122"/>
        <v>4849.3500000000004</v>
      </c>
      <c r="L96" s="149">
        <f t="shared" si="123"/>
        <v>4849.3500000000004</v>
      </c>
      <c r="M96" s="157">
        <f t="shared" si="130"/>
        <v>4849.3500000000004</v>
      </c>
      <c r="N96" s="157">
        <f t="shared" si="131"/>
        <v>0</v>
      </c>
      <c r="O96" s="157">
        <f t="shared" si="132"/>
        <v>4849.3500000000004</v>
      </c>
      <c r="P96" s="157">
        <f t="shared" si="133"/>
        <v>0</v>
      </c>
      <c r="Q96" s="194">
        <f t="shared" si="135"/>
        <v>0</v>
      </c>
      <c r="R96" s="194">
        <f t="shared" si="136"/>
        <v>100</v>
      </c>
      <c r="S96" s="195">
        <f t="shared" si="137"/>
        <v>0</v>
      </c>
      <c r="T96" s="28">
        <f t="shared" si="134"/>
        <v>4849.3500000000004</v>
      </c>
      <c r="Y96" s="67"/>
    </row>
    <row r="97" spans="1:25" customFormat="1" ht="25.5" x14ac:dyDescent="0.2">
      <c r="A97" s="31" t="s">
        <v>233</v>
      </c>
      <c r="B97" s="30">
        <v>2003746</v>
      </c>
      <c r="C97" s="32" t="s">
        <v>234</v>
      </c>
      <c r="D97" s="72" t="s">
        <v>202</v>
      </c>
      <c r="E97" s="144">
        <v>1</v>
      </c>
      <c r="F97" s="177">
        <v>1</v>
      </c>
      <c r="G97" s="180"/>
      <c r="H97" s="177">
        <f t="shared" si="128"/>
        <v>1</v>
      </c>
      <c r="I97" s="145">
        <f t="shared" si="129"/>
        <v>0</v>
      </c>
      <c r="J97" s="75">
        <v>4786.79</v>
      </c>
      <c r="K97" s="149">
        <f t="shared" si="122"/>
        <v>5845.14</v>
      </c>
      <c r="L97" s="149">
        <f t="shared" si="123"/>
        <v>5845.14</v>
      </c>
      <c r="M97" s="157">
        <f t="shared" si="130"/>
        <v>5845.14</v>
      </c>
      <c r="N97" s="157">
        <f t="shared" si="131"/>
        <v>0</v>
      </c>
      <c r="O97" s="157">
        <f t="shared" si="132"/>
        <v>5845.14</v>
      </c>
      <c r="P97" s="157">
        <f t="shared" si="133"/>
        <v>0</v>
      </c>
      <c r="Q97" s="194">
        <f t="shared" si="135"/>
        <v>0</v>
      </c>
      <c r="R97" s="194">
        <f t="shared" si="136"/>
        <v>100</v>
      </c>
      <c r="S97" s="195">
        <f t="shared" si="137"/>
        <v>0</v>
      </c>
      <c r="T97" s="28">
        <f t="shared" si="134"/>
        <v>5845.14</v>
      </c>
      <c r="Y97" s="67"/>
    </row>
    <row r="98" spans="1:25" customFormat="1" ht="25.5" x14ac:dyDescent="0.2">
      <c r="A98" s="31" t="s">
        <v>235</v>
      </c>
      <c r="B98" s="30">
        <v>804081</v>
      </c>
      <c r="C98" s="32" t="s">
        <v>236</v>
      </c>
      <c r="D98" s="72" t="s">
        <v>202</v>
      </c>
      <c r="E98" s="144">
        <v>1</v>
      </c>
      <c r="F98" s="177">
        <v>1</v>
      </c>
      <c r="G98" s="180"/>
      <c r="H98" s="177">
        <f t="shared" si="128"/>
        <v>1</v>
      </c>
      <c r="I98" s="145">
        <f t="shared" si="129"/>
        <v>0</v>
      </c>
      <c r="J98" s="75">
        <v>612.04</v>
      </c>
      <c r="K98" s="149">
        <f t="shared" si="122"/>
        <v>747.36</v>
      </c>
      <c r="L98" s="149">
        <f t="shared" si="123"/>
        <v>747.36</v>
      </c>
      <c r="M98" s="157">
        <f t="shared" si="130"/>
        <v>747.36</v>
      </c>
      <c r="N98" s="157">
        <f t="shared" si="131"/>
        <v>0</v>
      </c>
      <c r="O98" s="157">
        <f t="shared" si="132"/>
        <v>747.36</v>
      </c>
      <c r="P98" s="157">
        <f t="shared" si="133"/>
        <v>0</v>
      </c>
      <c r="Q98" s="194">
        <f t="shared" si="135"/>
        <v>0</v>
      </c>
      <c r="R98" s="194">
        <f t="shared" si="136"/>
        <v>100</v>
      </c>
      <c r="S98" s="195">
        <f t="shared" si="137"/>
        <v>0</v>
      </c>
      <c r="T98" s="28">
        <f t="shared" si="134"/>
        <v>747.36</v>
      </c>
      <c r="Y98" s="67"/>
    </row>
    <row r="99" spans="1:25" customFormat="1" ht="25.5" x14ac:dyDescent="0.2">
      <c r="A99" s="31" t="s">
        <v>237</v>
      </c>
      <c r="B99" s="30">
        <v>804101</v>
      </c>
      <c r="C99" s="32" t="s">
        <v>238</v>
      </c>
      <c r="D99" s="72" t="s">
        <v>202</v>
      </c>
      <c r="E99" s="144">
        <v>7</v>
      </c>
      <c r="F99" s="177">
        <v>7</v>
      </c>
      <c r="G99" s="180"/>
      <c r="H99" s="177">
        <f t="shared" si="128"/>
        <v>7</v>
      </c>
      <c r="I99" s="145">
        <f t="shared" si="129"/>
        <v>0</v>
      </c>
      <c r="J99" s="75">
        <v>1033.8599999999999</v>
      </c>
      <c r="K99" s="149">
        <f t="shared" si="122"/>
        <v>1262.44</v>
      </c>
      <c r="L99" s="149">
        <f t="shared" si="123"/>
        <v>8837.08</v>
      </c>
      <c r="M99" s="157">
        <f t="shared" si="130"/>
        <v>8837.08</v>
      </c>
      <c r="N99" s="157">
        <f t="shared" si="131"/>
        <v>0</v>
      </c>
      <c r="O99" s="157">
        <f t="shared" si="132"/>
        <v>8837.08</v>
      </c>
      <c r="P99" s="157">
        <f t="shared" si="133"/>
        <v>0</v>
      </c>
      <c r="Q99" s="194">
        <f t="shared" si="135"/>
        <v>0</v>
      </c>
      <c r="R99" s="194">
        <f t="shared" si="136"/>
        <v>100</v>
      </c>
      <c r="S99" s="195">
        <f t="shared" si="137"/>
        <v>0</v>
      </c>
      <c r="T99" s="28">
        <f t="shared" si="134"/>
        <v>8837.08</v>
      </c>
      <c r="Y99" s="67"/>
    </row>
    <row r="100" spans="1:25" customFormat="1" ht="25.5" x14ac:dyDescent="0.2">
      <c r="A100" s="31" t="s">
        <v>239</v>
      </c>
      <c r="B100" s="72">
        <v>804141</v>
      </c>
      <c r="C100" s="31" t="s">
        <v>240</v>
      </c>
      <c r="D100" s="72" t="s">
        <v>202</v>
      </c>
      <c r="E100" s="144">
        <v>16</v>
      </c>
      <c r="F100" s="177">
        <v>6</v>
      </c>
      <c r="G100" s="180"/>
      <c r="H100" s="177">
        <f t="shared" si="128"/>
        <v>6</v>
      </c>
      <c r="I100" s="145">
        <f t="shared" si="129"/>
        <v>10</v>
      </c>
      <c r="J100" s="75">
        <v>2129.0500000000002</v>
      </c>
      <c r="K100" s="149">
        <f t="shared" si="122"/>
        <v>2599.7800000000002</v>
      </c>
      <c r="L100" s="149">
        <f t="shared" si="123"/>
        <v>41596.480000000003</v>
      </c>
      <c r="M100" s="157">
        <f t="shared" si="130"/>
        <v>15598.68</v>
      </c>
      <c r="N100" s="157">
        <f t="shared" si="131"/>
        <v>0</v>
      </c>
      <c r="O100" s="157">
        <f t="shared" si="132"/>
        <v>15598.68</v>
      </c>
      <c r="P100" s="157">
        <f t="shared" si="133"/>
        <v>25997.8</v>
      </c>
      <c r="Q100" s="194">
        <f t="shared" si="135"/>
        <v>0</v>
      </c>
      <c r="R100" s="194">
        <f t="shared" si="136"/>
        <v>37.5</v>
      </c>
      <c r="S100" s="195">
        <f t="shared" si="137"/>
        <v>62.499999999999986</v>
      </c>
      <c r="T100" s="28">
        <f t="shared" si="134"/>
        <v>15598.680000000004</v>
      </c>
      <c r="Y100" s="67"/>
    </row>
    <row r="101" spans="1:25" customFormat="1" ht="25.5" x14ac:dyDescent="0.2">
      <c r="A101" s="71" t="s">
        <v>241</v>
      </c>
      <c r="B101" s="72">
        <v>804253</v>
      </c>
      <c r="C101" s="31" t="s">
        <v>242</v>
      </c>
      <c r="D101" s="72" t="s">
        <v>202</v>
      </c>
      <c r="E101" s="144">
        <v>2</v>
      </c>
      <c r="F101" s="177">
        <v>2</v>
      </c>
      <c r="G101" s="180"/>
      <c r="H101" s="177">
        <f t="shared" si="128"/>
        <v>2</v>
      </c>
      <c r="I101" s="145">
        <f t="shared" si="129"/>
        <v>0</v>
      </c>
      <c r="J101" s="75">
        <v>2554.2199999999998</v>
      </c>
      <c r="K101" s="149">
        <f t="shared" si="122"/>
        <v>3118.95</v>
      </c>
      <c r="L101" s="149">
        <f t="shared" si="123"/>
        <v>6237.9</v>
      </c>
      <c r="M101" s="157">
        <f t="shared" si="130"/>
        <v>6237.9</v>
      </c>
      <c r="N101" s="157">
        <f t="shared" si="131"/>
        <v>0</v>
      </c>
      <c r="O101" s="157">
        <f t="shared" si="132"/>
        <v>6237.9</v>
      </c>
      <c r="P101" s="157">
        <f t="shared" si="133"/>
        <v>0</v>
      </c>
      <c r="Q101" s="194">
        <f t="shared" si="135"/>
        <v>0</v>
      </c>
      <c r="R101" s="194">
        <f t="shared" si="136"/>
        <v>100</v>
      </c>
      <c r="S101" s="195">
        <f t="shared" si="137"/>
        <v>0</v>
      </c>
      <c r="T101" s="28">
        <f t="shared" si="134"/>
        <v>6237.9</v>
      </c>
      <c r="Y101" s="67"/>
    </row>
    <row r="102" spans="1:25" customFormat="1" ht="25.5" x14ac:dyDescent="0.2">
      <c r="A102" s="71" t="s">
        <v>243</v>
      </c>
      <c r="B102" s="30">
        <v>705338</v>
      </c>
      <c r="C102" s="31" t="s">
        <v>244</v>
      </c>
      <c r="D102" s="72" t="s">
        <v>202</v>
      </c>
      <c r="E102" s="144">
        <v>2</v>
      </c>
      <c r="F102" s="177">
        <v>2</v>
      </c>
      <c r="G102" s="180"/>
      <c r="H102" s="177">
        <f t="shared" si="128"/>
        <v>2</v>
      </c>
      <c r="I102" s="145">
        <f t="shared" si="129"/>
        <v>0</v>
      </c>
      <c r="J102" s="75">
        <v>41470.29</v>
      </c>
      <c r="K102" s="149">
        <f t="shared" si="122"/>
        <v>50639.37</v>
      </c>
      <c r="L102" s="149">
        <f t="shared" si="123"/>
        <v>101278.74</v>
      </c>
      <c r="M102" s="157">
        <f t="shared" si="130"/>
        <v>101278.74</v>
      </c>
      <c r="N102" s="157">
        <f t="shared" si="131"/>
        <v>0</v>
      </c>
      <c r="O102" s="157">
        <f t="shared" si="132"/>
        <v>101278.74</v>
      </c>
      <c r="P102" s="157">
        <f t="shared" si="133"/>
        <v>0</v>
      </c>
      <c r="Q102" s="194">
        <f t="shared" si="135"/>
        <v>0</v>
      </c>
      <c r="R102" s="194">
        <f t="shared" si="136"/>
        <v>100</v>
      </c>
      <c r="S102" s="195">
        <f t="shared" si="137"/>
        <v>0</v>
      </c>
      <c r="T102" s="28">
        <f t="shared" si="134"/>
        <v>101278.74</v>
      </c>
      <c r="Y102" s="67"/>
    </row>
    <row r="103" spans="1:25" customFormat="1" ht="25.5" x14ac:dyDescent="0.2">
      <c r="A103" s="71" t="s">
        <v>245</v>
      </c>
      <c r="B103" s="30">
        <v>705303</v>
      </c>
      <c r="C103" s="31" t="s">
        <v>246</v>
      </c>
      <c r="D103" s="72" t="s">
        <v>52</v>
      </c>
      <c r="E103" s="144">
        <v>26</v>
      </c>
      <c r="F103" s="177">
        <v>26</v>
      </c>
      <c r="G103" s="145"/>
      <c r="H103" s="177">
        <f t="shared" si="128"/>
        <v>26</v>
      </c>
      <c r="I103" s="145">
        <f t="shared" si="129"/>
        <v>0</v>
      </c>
      <c r="J103" s="75">
        <v>9354.83</v>
      </c>
      <c r="K103" s="149">
        <f t="shared" si="122"/>
        <v>11423.18</v>
      </c>
      <c r="L103" s="149">
        <f t="shared" si="123"/>
        <v>297002.68</v>
      </c>
      <c r="M103" s="157">
        <f t="shared" si="130"/>
        <v>297002.68</v>
      </c>
      <c r="N103" s="157">
        <f t="shared" si="131"/>
        <v>0</v>
      </c>
      <c r="O103" s="157">
        <f t="shared" si="132"/>
        <v>297002.68</v>
      </c>
      <c r="P103" s="157">
        <f t="shared" si="133"/>
        <v>0</v>
      </c>
      <c r="Q103" s="194">
        <f t="shared" si="135"/>
        <v>0</v>
      </c>
      <c r="R103" s="194">
        <f t="shared" si="136"/>
        <v>100</v>
      </c>
      <c r="S103" s="195">
        <f t="shared" si="137"/>
        <v>0</v>
      </c>
      <c r="T103" s="28">
        <f t="shared" si="134"/>
        <v>297002.68</v>
      </c>
      <c r="Y103" s="67"/>
    </row>
    <row r="104" spans="1:25" customFormat="1" ht="12.75" x14ac:dyDescent="0.2">
      <c r="A104" s="71" t="s">
        <v>247</v>
      </c>
      <c r="B104" s="72" t="s">
        <v>248</v>
      </c>
      <c r="C104" s="31" t="s">
        <v>249</v>
      </c>
      <c r="D104" s="72" t="s">
        <v>71</v>
      </c>
      <c r="E104" s="144">
        <v>39</v>
      </c>
      <c r="F104" s="177">
        <v>38.999000000000002</v>
      </c>
      <c r="G104" s="145"/>
      <c r="H104" s="177">
        <f t="shared" si="128"/>
        <v>38.999000000000002</v>
      </c>
      <c r="I104" s="145">
        <f t="shared" si="129"/>
        <v>9.9999999999766942E-4</v>
      </c>
      <c r="J104" s="75">
        <v>492.07</v>
      </c>
      <c r="K104" s="149">
        <f t="shared" si="122"/>
        <v>600.86</v>
      </c>
      <c r="L104" s="149">
        <f t="shared" si="123"/>
        <v>23433.54</v>
      </c>
      <c r="M104" s="157">
        <f t="shared" si="130"/>
        <v>23432.94</v>
      </c>
      <c r="N104" s="157">
        <f t="shared" si="131"/>
        <v>0</v>
      </c>
      <c r="O104" s="157">
        <f t="shared" si="132"/>
        <v>23432.94</v>
      </c>
      <c r="P104" s="157">
        <f t="shared" si="133"/>
        <v>0.6</v>
      </c>
      <c r="Q104" s="194">
        <f t="shared" si="135"/>
        <v>0</v>
      </c>
      <c r="R104" s="194">
        <f t="shared" si="136"/>
        <v>99.997439567389307</v>
      </c>
      <c r="S104" s="195">
        <f t="shared" si="137"/>
        <v>2.5604326106939026E-3</v>
      </c>
      <c r="T104" s="28">
        <f t="shared" si="134"/>
        <v>23432.940000000002</v>
      </c>
      <c r="Y104" s="67"/>
    </row>
    <row r="105" spans="1:25" customFormat="1" ht="25.5" x14ac:dyDescent="0.2">
      <c r="A105" s="71" t="s">
        <v>250</v>
      </c>
      <c r="B105" s="30">
        <v>804015</v>
      </c>
      <c r="C105" s="31" t="s">
        <v>251</v>
      </c>
      <c r="D105" s="72" t="s">
        <v>52</v>
      </c>
      <c r="E105" s="144">
        <v>39</v>
      </c>
      <c r="F105" s="177">
        <v>39</v>
      </c>
      <c r="G105" s="180"/>
      <c r="H105" s="177">
        <f t="shared" si="128"/>
        <v>39</v>
      </c>
      <c r="I105" s="145">
        <f t="shared" si="129"/>
        <v>0</v>
      </c>
      <c r="J105" s="75">
        <v>213.66</v>
      </c>
      <c r="K105" s="149">
        <f t="shared" si="122"/>
        <v>260.89999999999998</v>
      </c>
      <c r="L105" s="149">
        <f t="shared" si="123"/>
        <v>10175.1</v>
      </c>
      <c r="M105" s="157">
        <f t="shared" si="130"/>
        <v>10175.1</v>
      </c>
      <c r="N105" s="157">
        <f t="shared" si="131"/>
        <v>0</v>
      </c>
      <c r="O105" s="157">
        <f t="shared" si="132"/>
        <v>10175.1</v>
      </c>
      <c r="P105" s="157">
        <f t="shared" si="133"/>
        <v>0</v>
      </c>
      <c r="Q105" s="194">
        <f t="shared" si="135"/>
        <v>0</v>
      </c>
      <c r="R105" s="194">
        <f t="shared" si="136"/>
        <v>100</v>
      </c>
      <c r="S105" s="195">
        <f t="shared" si="137"/>
        <v>0</v>
      </c>
      <c r="T105" s="28">
        <f t="shared" si="134"/>
        <v>10175.1</v>
      </c>
      <c r="Y105" s="67"/>
    </row>
    <row r="106" spans="1:25" customFormat="1" ht="25.5" x14ac:dyDescent="0.2">
      <c r="A106" s="71" t="s">
        <v>252</v>
      </c>
      <c r="B106" s="30">
        <v>804023</v>
      </c>
      <c r="C106" s="31" t="s">
        <v>253</v>
      </c>
      <c r="D106" s="72" t="s">
        <v>52</v>
      </c>
      <c r="E106" s="144">
        <v>141</v>
      </c>
      <c r="F106" s="177">
        <v>141</v>
      </c>
      <c r="G106" s="180"/>
      <c r="H106" s="177">
        <f t="shared" si="128"/>
        <v>141</v>
      </c>
      <c r="I106" s="145">
        <f t="shared" si="129"/>
        <v>0</v>
      </c>
      <c r="J106" s="75">
        <v>349.91</v>
      </c>
      <c r="K106" s="149">
        <f t="shared" si="122"/>
        <v>427.27</v>
      </c>
      <c r="L106" s="149">
        <f t="shared" si="123"/>
        <v>60245.07</v>
      </c>
      <c r="M106" s="157">
        <f t="shared" si="130"/>
        <v>60245.07</v>
      </c>
      <c r="N106" s="157">
        <f t="shared" si="131"/>
        <v>0</v>
      </c>
      <c r="O106" s="157">
        <f t="shared" si="132"/>
        <v>60245.07</v>
      </c>
      <c r="P106" s="157">
        <f t="shared" si="133"/>
        <v>0</v>
      </c>
      <c r="Q106" s="194">
        <f t="shared" si="135"/>
        <v>0</v>
      </c>
      <c r="R106" s="194">
        <f t="shared" si="136"/>
        <v>100</v>
      </c>
      <c r="S106" s="195">
        <f t="shared" si="137"/>
        <v>0</v>
      </c>
      <c r="T106" s="28">
        <f t="shared" si="134"/>
        <v>60245.07</v>
      </c>
      <c r="Y106" s="67"/>
    </row>
    <row r="107" spans="1:25" customFormat="1" ht="25.5" x14ac:dyDescent="0.2">
      <c r="A107" s="71" t="s">
        <v>254</v>
      </c>
      <c r="B107" s="30">
        <v>804031</v>
      </c>
      <c r="C107" s="31" t="s">
        <v>255</v>
      </c>
      <c r="D107" s="72" t="s">
        <v>52</v>
      </c>
      <c r="E107" s="144">
        <v>104</v>
      </c>
      <c r="F107" s="177">
        <v>104</v>
      </c>
      <c r="G107" s="180"/>
      <c r="H107" s="177">
        <f t="shared" si="128"/>
        <v>104</v>
      </c>
      <c r="I107" s="145">
        <f t="shared" si="129"/>
        <v>0</v>
      </c>
      <c r="J107" s="75">
        <v>503.75</v>
      </c>
      <c r="K107" s="149">
        <f t="shared" si="122"/>
        <v>615.12</v>
      </c>
      <c r="L107" s="149">
        <f t="shared" si="123"/>
        <v>63972.480000000003</v>
      </c>
      <c r="M107" s="157">
        <f t="shared" si="130"/>
        <v>63972.480000000003</v>
      </c>
      <c r="N107" s="157">
        <f t="shared" si="131"/>
        <v>0</v>
      </c>
      <c r="O107" s="157">
        <f t="shared" si="132"/>
        <v>63972.480000000003</v>
      </c>
      <c r="P107" s="157">
        <f t="shared" si="133"/>
        <v>0</v>
      </c>
      <c r="Q107" s="194">
        <f t="shared" si="135"/>
        <v>0</v>
      </c>
      <c r="R107" s="194">
        <f t="shared" si="136"/>
        <v>100</v>
      </c>
      <c r="S107" s="195">
        <f t="shared" si="137"/>
        <v>0</v>
      </c>
      <c r="T107" s="28">
        <f t="shared" si="134"/>
        <v>63972.480000000003</v>
      </c>
      <c r="Y107" s="67"/>
    </row>
    <row r="108" spans="1:25" customFormat="1" ht="25.5" x14ac:dyDescent="0.2">
      <c r="A108" s="71" t="s">
        <v>256</v>
      </c>
      <c r="B108" s="72">
        <v>804047</v>
      </c>
      <c r="C108" s="31" t="s">
        <v>257</v>
      </c>
      <c r="D108" s="72" t="s">
        <v>52</v>
      </c>
      <c r="E108" s="144">
        <v>17</v>
      </c>
      <c r="F108" s="177">
        <v>17</v>
      </c>
      <c r="G108" s="180"/>
      <c r="H108" s="177">
        <f t="shared" si="128"/>
        <v>17</v>
      </c>
      <c r="I108" s="145">
        <f t="shared" si="129"/>
        <v>0</v>
      </c>
      <c r="J108" s="75">
        <v>884.4</v>
      </c>
      <c r="K108" s="149">
        <f t="shared" si="122"/>
        <v>1079.94</v>
      </c>
      <c r="L108" s="149">
        <f t="shared" si="123"/>
        <v>18358.98</v>
      </c>
      <c r="M108" s="157">
        <f t="shared" si="130"/>
        <v>18358.98</v>
      </c>
      <c r="N108" s="157">
        <f t="shared" si="131"/>
        <v>0</v>
      </c>
      <c r="O108" s="157">
        <f t="shared" si="132"/>
        <v>18358.98</v>
      </c>
      <c r="P108" s="157">
        <f t="shared" si="133"/>
        <v>0</v>
      </c>
      <c r="Q108" s="194">
        <f t="shared" si="135"/>
        <v>0</v>
      </c>
      <c r="R108" s="194">
        <f t="shared" si="136"/>
        <v>100</v>
      </c>
      <c r="S108" s="195">
        <f t="shared" si="137"/>
        <v>0</v>
      </c>
      <c r="T108" s="28">
        <f t="shared" si="134"/>
        <v>18358.98</v>
      </c>
      <c r="Y108" s="67"/>
    </row>
    <row r="109" spans="1:25" customFormat="1" ht="25.5" x14ac:dyDescent="0.2">
      <c r="A109" s="71" t="s">
        <v>258</v>
      </c>
      <c r="B109" s="30">
        <v>804199</v>
      </c>
      <c r="C109" s="71" t="s">
        <v>259</v>
      </c>
      <c r="D109" s="72" t="s">
        <v>52</v>
      </c>
      <c r="E109" s="144">
        <v>21</v>
      </c>
      <c r="F109" s="177">
        <v>21</v>
      </c>
      <c r="G109" s="180"/>
      <c r="H109" s="177">
        <f t="shared" si="128"/>
        <v>21</v>
      </c>
      <c r="I109" s="145">
        <f t="shared" si="129"/>
        <v>0</v>
      </c>
      <c r="J109" s="75">
        <v>1719.09</v>
      </c>
      <c r="K109" s="149">
        <f t="shared" si="122"/>
        <v>2099.1799999999998</v>
      </c>
      <c r="L109" s="149">
        <f t="shared" si="123"/>
        <v>44082.78</v>
      </c>
      <c r="M109" s="157">
        <f t="shared" si="130"/>
        <v>44082.78</v>
      </c>
      <c r="N109" s="157">
        <f t="shared" si="131"/>
        <v>0</v>
      </c>
      <c r="O109" s="157">
        <f t="shared" si="132"/>
        <v>44082.78</v>
      </c>
      <c r="P109" s="157">
        <f t="shared" si="133"/>
        <v>0</v>
      </c>
      <c r="Q109" s="194">
        <f t="shared" si="135"/>
        <v>0</v>
      </c>
      <c r="R109" s="194">
        <f t="shared" si="136"/>
        <v>100</v>
      </c>
      <c r="S109" s="195">
        <f t="shared" si="137"/>
        <v>0</v>
      </c>
      <c r="T109" s="28">
        <f t="shared" si="134"/>
        <v>44082.78</v>
      </c>
      <c r="Y109" s="67"/>
    </row>
    <row r="110" spans="1:25" customFormat="1" ht="25.5" x14ac:dyDescent="0.2">
      <c r="A110" s="71" t="s">
        <v>260</v>
      </c>
      <c r="B110" s="72" t="s">
        <v>261</v>
      </c>
      <c r="C110" s="71" t="s">
        <v>488</v>
      </c>
      <c r="D110" s="72" t="s">
        <v>48</v>
      </c>
      <c r="E110" s="144">
        <v>9</v>
      </c>
      <c r="F110" s="177">
        <v>9</v>
      </c>
      <c r="G110" s="180"/>
      <c r="H110" s="177">
        <f t="shared" si="128"/>
        <v>9</v>
      </c>
      <c r="I110" s="145">
        <f t="shared" si="129"/>
        <v>0</v>
      </c>
      <c r="J110" s="75">
        <v>4416.04</v>
      </c>
      <c r="K110" s="149">
        <f t="shared" si="122"/>
        <v>5392.42</v>
      </c>
      <c r="L110" s="149">
        <f t="shared" si="123"/>
        <v>48531.78</v>
      </c>
      <c r="M110" s="157">
        <f t="shared" si="130"/>
        <v>48531.78</v>
      </c>
      <c r="N110" s="157">
        <f t="shared" si="131"/>
        <v>0</v>
      </c>
      <c r="O110" s="157">
        <f t="shared" si="132"/>
        <v>48531.78</v>
      </c>
      <c r="P110" s="157">
        <f t="shared" si="133"/>
        <v>0</v>
      </c>
      <c r="Q110" s="194">
        <f t="shared" si="135"/>
        <v>0</v>
      </c>
      <c r="R110" s="194">
        <f t="shared" si="136"/>
        <v>100</v>
      </c>
      <c r="S110" s="195">
        <f t="shared" si="137"/>
        <v>0</v>
      </c>
      <c r="T110" s="28">
        <f t="shared" si="134"/>
        <v>48531.78</v>
      </c>
      <c r="Y110" s="67"/>
    </row>
    <row r="111" spans="1:25" customFormat="1" ht="25.5" x14ac:dyDescent="0.2">
      <c r="A111" s="71" t="s">
        <v>262</v>
      </c>
      <c r="B111" s="72" t="s">
        <v>263</v>
      </c>
      <c r="C111" s="33" t="s">
        <v>264</v>
      </c>
      <c r="D111" s="72" t="s">
        <v>48</v>
      </c>
      <c r="E111" s="144">
        <v>3</v>
      </c>
      <c r="F111" s="177">
        <v>3</v>
      </c>
      <c r="G111" s="180"/>
      <c r="H111" s="177">
        <f t="shared" si="128"/>
        <v>3</v>
      </c>
      <c r="I111" s="145">
        <f t="shared" si="129"/>
        <v>0</v>
      </c>
      <c r="J111" s="75">
        <v>2315.91</v>
      </c>
      <c r="K111" s="149">
        <f t="shared" si="122"/>
        <v>2827.95</v>
      </c>
      <c r="L111" s="149">
        <f t="shared" si="123"/>
        <v>8483.85</v>
      </c>
      <c r="M111" s="157">
        <f t="shared" si="130"/>
        <v>8483.85</v>
      </c>
      <c r="N111" s="157">
        <f t="shared" si="131"/>
        <v>0</v>
      </c>
      <c r="O111" s="157">
        <f t="shared" si="132"/>
        <v>8483.85</v>
      </c>
      <c r="P111" s="157">
        <f t="shared" si="133"/>
        <v>0</v>
      </c>
      <c r="Q111" s="194">
        <f t="shared" si="135"/>
        <v>0</v>
      </c>
      <c r="R111" s="194">
        <f t="shared" si="136"/>
        <v>100</v>
      </c>
      <c r="S111" s="195">
        <f t="shared" si="137"/>
        <v>0</v>
      </c>
      <c r="T111" s="28">
        <f t="shared" si="134"/>
        <v>8483.85</v>
      </c>
      <c r="Y111" s="67"/>
    </row>
    <row r="112" spans="1:25" customFormat="1" ht="12.75" x14ac:dyDescent="0.2">
      <c r="A112" s="71" t="s">
        <v>265</v>
      </c>
      <c r="B112" s="72" t="s">
        <v>266</v>
      </c>
      <c r="C112" s="71" t="s">
        <v>267</v>
      </c>
      <c r="D112" s="72" t="s">
        <v>38</v>
      </c>
      <c r="E112" s="144">
        <v>15.2</v>
      </c>
      <c r="F112" s="177">
        <v>0</v>
      </c>
      <c r="G112" s="180"/>
      <c r="H112" s="177">
        <f t="shared" si="128"/>
        <v>0</v>
      </c>
      <c r="I112" s="145">
        <f t="shared" si="129"/>
        <v>15.2</v>
      </c>
      <c r="J112" s="75">
        <v>213.9</v>
      </c>
      <c r="K112" s="149">
        <f t="shared" si="122"/>
        <v>261.19</v>
      </c>
      <c r="L112" s="149">
        <f t="shared" si="123"/>
        <v>3970.08</v>
      </c>
      <c r="M112" s="157">
        <f t="shared" si="130"/>
        <v>0</v>
      </c>
      <c r="N112" s="157">
        <f t="shared" si="131"/>
        <v>0</v>
      </c>
      <c r="O112" s="157">
        <f t="shared" si="132"/>
        <v>0</v>
      </c>
      <c r="P112" s="157">
        <f>L112-O112</f>
        <v>3970.08</v>
      </c>
      <c r="Q112" s="194">
        <f t="shared" si="135"/>
        <v>0</v>
      </c>
      <c r="R112" s="194">
        <f t="shared" si="136"/>
        <v>0</v>
      </c>
      <c r="S112" s="195">
        <f t="shared" si="137"/>
        <v>100</v>
      </c>
      <c r="T112" s="28">
        <f t="shared" si="134"/>
        <v>0</v>
      </c>
      <c r="Y112" s="67"/>
    </row>
    <row r="113" spans="1:25" customFormat="1" ht="12.75" x14ac:dyDescent="0.2">
      <c r="A113" s="34" t="s">
        <v>268</v>
      </c>
      <c r="B113" s="35"/>
      <c r="C113" s="34" t="s">
        <v>269</v>
      </c>
      <c r="D113" s="215"/>
      <c r="E113" s="174" t="s">
        <v>41</v>
      </c>
      <c r="F113" s="185"/>
      <c r="G113" s="185"/>
      <c r="H113" s="185"/>
      <c r="I113" s="185"/>
      <c r="J113" s="114" t="s">
        <v>41</v>
      </c>
      <c r="K113" s="154"/>
      <c r="L113" s="166">
        <f>SUM(L114:L119)</f>
        <v>448615.87</v>
      </c>
      <c r="M113" s="166">
        <f t="shared" ref="M113:P113" si="138">SUM(M114:M119)</f>
        <v>87035.29</v>
      </c>
      <c r="N113" s="166">
        <f t="shared" si="138"/>
        <v>0</v>
      </c>
      <c r="O113" s="166">
        <f t="shared" si="138"/>
        <v>87035.29</v>
      </c>
      <c r="P113" s="166">
        <f t="shared" si="138"/>
        <v>361580.57999999996</v>
      </c>
      <c r="Q113" s="207">
        <f t="shared" si="135"/>
        <v>0</v>
      </c>
      <c r="R113" s="207">
        <f t="shared" si="136"/>
        <v>19.400849550864084</v>
      </c>
      <c r="S113" s="208">
        <f t="shared" si="137"/>
        <v>80.599150449135905</v>
      </c>
      <c r="T113" s="28">
        <f t="shared" si="134"/>
        <v>87035.290000000037</v>
      </c>
      <c r="Y113" s="67"/>
    </row>
    <row r="114" spans="1:25" s="228" customFormat="1" ht="25.5" x14ac:dyDescent="0.2">
      <c r="A114" s="218" t="s">
        <v>270</v>
      </c>
      <c r="B114" s="219" t="s">
        <v>271</v>
      </c>
      <c r="C114" s="218" t="s">
        <v>507</v>
      </c>
      <c r="D114" s="219" t="s">
        <v>38</v>
      </c>
      <c r="E114" s="220">
        <v>1425</v>
      </c>
      <c r="F114" s="220">
        <v>322.98882439024385</v>
      </c>
      <c r="G114" s="220"/>
      <c r="H114" s="220">
        <f t="shared" ref="H114" si="139">F114+G114</f>
        <v>322.98882439024385</v>
      </c>
      <c r="I114" s="220">
        <f>E114-H114</f>
        <v>1102.0111756097563</v>
      </c>
      <c r="J114" s="222">
        <v>62.55</v>
      </c>
      <c r="K114" s="223">
        <f t="shared" ref="K114:K119" si="140">TRUNC(J114*1.2211,2)</f>
        <v>76.37</v>
      </c>
      <c r="L114" s="223">
        <f t="shared" ref="L114:L119" si="141">TRUNC(E114*K114,2)</f>
        <v>108827.25</v>
      </c>
      <c r="M114" s="224">
        <f t="shared" ref="M114" si="142">ROUND(F114*$K114,2)</f>
        <v>24666.66</v>
      </c>
      <c r="N114" s="224">
        <f t="shared" ref="N114" si="143">ROUND(G114*$K114,2)</f>
        <v>0</v>
      </c>
      <c r="O114" s="224">
        <f t="shared" ref="O114" si="144">ROUND(H114*$K114,2)</f>
        <v>24666.66</v>
      </c>
      <c r="P114" s="224">
        <f t="shared" ref="P114" si="145">ROUND(I114*$K114,2)</f>
        <v>84160.59</v>
      </c>
      <c r="Q114" s="225">
        <f t="shared" si="135"/>
        <v>0</v>
      </c>
      <c r="R114" s="225">
        <f t="shared" si="136"/>
        <v>22.665885612289202</v>
      </c>
      <c r="S114" s="226">
        <f t="shared" si="137"/>
        <v>77.334114387710798</v>
      </c>
      <c r="T114" s="227">
        <f t="shared" si="134"/>
        <v>24666.660000000003</v>
      </c>
      <c r="Y114" s="229"/>
    </row>
    <row r="115" spans="1:25" s="228" customFormat="1" ht="25.5" x14ac:dyDescent="0.2">
      <c r="A115" s="218" t="s">
        <v>273</v>
      </c>
      <c r="B115" s="219" t="s">
        <v>274</v>
      </c>
      <c r="C115" s="218" t="s">
        <v>505</v>
      </c>
      <c r="D115" s="219" t="s">
        <v>275</v>
      </c>
      <c r="E115" s="220">
        <v>9263</v>
      </c>
      <c r="F115" s="220">
        <v>1670.1649559485604</v>
      </c>
      <c r="G115" s="220"/>
      <c r="H115" s="220">
        <f t="shared" ref="H115:H119" si="146">F115+G115</f>
        <v>1670.1649559485604</v>
      </c>
      <c r="I115" s="220">
        <f t="shared" ref="I115:I119" si="147">E115-H115</f>
        <v>7592.8350440514396</v>
      </c>
      <c r="J115" s="222">
        <v>13.34</v>
      </c>
      <c r="K115" s="223">
        <f t="shared" si="140"/>
        <v>16.28</v>
      </c>
      <c r="L115" s="223">
        <f t="shared" si="141"/>
        <v>150801.64000000001</v>
      </c>
      <c r="M115" s="224">
        <f t="shared" ref="M115:M119" si="148">ROUND(F115*$K115,2)</f>
        <v>27190.29</v>
      </c>
      <c r="N115" s="224">
        <f t="shared" ref="N115:N119" si="149">ROUND(G115*$K115,2)</f>
        <v>0</v>
      </c>
      <c r="O115" s="224">
        <f t="shared" ref="O115:O119" si="150">ROUND(H115*$K115,2)</f>
        <v>27190.29</v>
      </c>
      <c r="P115" s="224">
        <f t="shared" ref="P115:P119" si="151">ROUND(I115*$K115,2)</f>
        <v>123611.35</v>
      </c>
      <c r="Q115" s="225">
        <f t="shared" si="135"/>
        <v>0</v>
      </c>
      <c r="R115" s="225">
        <f t="shared" si="136"/>
        <v>18.030500198804202</v>
      </c>
      <c r="S115" s="226">
        <f t="shared" si="137"/>
        <v>81.969499801195795</v>
      </c>
      <c r="T115" s="227">
        <f t="shared" si="134"/>
        <v>27190.290000000008</v>
      </c>
      <c r="Y115" s="229"/>
    </row>
    <row r="116" spans="1:25" s="228" customFormat="1" ht="25.5" x14ac:dyDescent="0.2">
      <c r="A116" s="218" t="s">
        <v>276</v>
      </c>
      <c r="B116" s="219" t="s">
        <v>277</v>
      </c>
      <c r="C116" s="218" t="s">
        <v>506</v>
      </c>
      <c r="D116" s="219" t="s">
        <v>275</v>
      </c>
      <c r="E116" s="220">
        <v>4703</v>
      </c>
      <c r="F116" s="220">
        <v>975.46498716302949</v>
      </c>
      <c r="G116" s="220"/>
      <c r="H116" s="220">
        <f t="shared" si="146"/>
        <v>975.46498716302949</v>
      </c>
      <c r="I116" s="220">
        <f t="shared" si="147"/>
        <v>3727.5350128369705</v>
      </c>
      <c r="J116" s="222">
        <v>12.49</v>
      </c>
      <c r="K116" s="223">
        <f t="shared" si="140"/>
        <v>15.25</v>
      </c>
      <c r="L116" s="223">
        <f t="shared" si="141"/>
        <v>71720.75</v>
      </c>
      <c r="M116" s="224">
        <f t="shared" si="148"/>
        <v>14875.84</v>
      </c>
      <c r="N116" s="224">
        <f t="shared" si="149"/>
        <v>0</v>
      </c>
      <c r="O116" s="224">
        <f t="shared" si="150"/>
        <v>14875.84</v>
      </c>
      <c r="P116" s="224">
        <f t="shared" si="151"/>
        <v>56844.91</v>
      </c>
      <c r="Q116" s="225">
        <f t="shared" si="135"/>
        <v>0</v>
      </c>
      <c r="R116" s="225">
        <f t="shared" si="136"/>
        <v>20.741333575011417</v>
      </c>
      <c r="S116" s="226">
        <f t="shared" si="137"/>
        <v>79.25866642498859</v>
      </c>
      <c r="T116" s="227">
        <f t="shared" si="134"/>
        <v>14875.839999999997</v>
      </c>
      <c r="Y116" s="229"/>
    </row>
    <row r="117" spans="1:25" s="228" customFormat="1" ht="25.5" x14ac:dyDescent="0.2">
      <c r="A117" s="218" t="s">
        <v>278</v>
      </c>
      <c r="B117" s="219" t="s">
        <v>279</v>
      </c>
      <c r="C117" s="218" t="s">
        <v>280</v>
      </c>
      <c r="D117" s="219" t="s">
        <v>71</v>
      </c>
      <c r="E117" s="220">
        <v>152</v>
      </c>
      <c r="F117" s="220">
        <v>31.624329268292676</v>
      </c>
      <c r="G117" s="220"/>
      <c r="H117" s="220">
        <f t="shared" si="146"/>
        <v>31.624329268292676</v>
      </c>
      <c r="I117" s="220">
        <f t="shared" si="147"/>
        <v>120.37567073170732</v>
      </c>
      <c r="J117" s="222">
        <v>525.75</v>
      </c>
      <c r="K117" s="223">
        <f t="shared" si="140"/>
        <v>641.99</v>
      </c>
      <c r="L117" s="223">
        <f t="shared" si="141"/>
        <v>97582.48</v>
      </c>
      <c r="M117" s="224">
        <f t="shared" si="148"/>
        <v>20302.5</v>
      </c>
      <c r="N117" s="224">
        <f t="shared" si="149"/>
        <v>0</v>
      </c>
      <c r="O117" s="224">
        <f t="shared" si="150"/>
        <v>20302.5</v>
      </c>
      <c r="P117" s="224">
        <f t="shared" si="151"/>
        <v>77279.98</v>
      </c>
      <c r="Q117" s="225">
        <f t="shared" si="135"/>
        <v>0</v>
      </c>
      <c r="R117" s="225">
        <f t="shared" si="136"/>
        <v>20.805476556857339</v>
      </c>
      <c r="S117" s="226">
        <f t="shared" si="137"/>
        <v>79.194523443142657</v>
      </c>
      <c r="T117" s="227">
        <f t="shared" si="134"/>
        <v>20302.5</v>
      </c>
      <c r="Y117" s="229"/>
    </row>
    <row r="118" spans="1:25" s="228" customFormat="1" ht="25.5" x14ac:dyDescent="0.2">
      <c r="A118" s="218" t="s">
        <v>281</v>
      </c>
      <c r="B118" s="219" t="s">
        <v>282</v>
      </c>
      <c r="C118" s="218" t="s">
        <v>508</v>
      </c>
      <c r="D118" s="219" t="s">
        <v>38</v>
      </c>
      <c r="E118" s="220">
        <v>275</v>
      </c>
      <c r="F118" s="221">
        <v>0</v>
      </c>
      <c r="G118" s="221"/>
      <c r="H118" s="221">
        <f t="shared" si="146"/>
        <v>0</v>
      </c>
      <c r="I118" s="220">
        <f t="shared" si="147"/>
        <v>275</v>
      </c>
      <c r="J118" s="222">
        <v>26.65</v>
      </c>
      <c r="K118" s="223">
        <f t="shared" si="140"/>
        <v>32.54</v>
      </c>
      <c r="L118" s="223">
        <f t="shared" si="141"/>
        <v>8948.5</v>
      </c>
      <c r="M118" s="224">
        <f t="shared" si="148"/>
        <v>0</v>
      </c>
      <c r="N118" s="224">
        <f t="shared" si="149"/>
        <v>0</v>
      </c>
      <c r="O118" s="224">
        <f t="shared" si="150"/>
        <v>0</v>
      </c>
      <c r="P118" s="224">
        <f t="shared" si="151"/>
        <v>8948.5</v>
      </c>
      <c r="Q118" s="225">
        <f t="shared" si="135"/>
        <v>0</v>
      </c>
      <c r="R118" s="225">
        <f t="shared" si="136"/>
        <v>0</v>
      </c>
      <c r="S118" s="226">
        <f t="shared" si="137"/>
        <v>100</v>
      </c>
      <c r="T118" s="227">
        <f t="shared" si="134"/>
        <v>0</v>
      </c>
      <c r="Y118" s="229"/>
    </row>
    <row r="119" spans="1:25" s="228" customFormat="1" ht="25.5" x14ac:dyDescent="0.2">
      <c r="A119" s="218" t="s">
        <v>283</v>
      </c>
      <c r="B119" s="219" t="s">
        <v>284</v>
      </c>
      <c r="C119" s="218" t="s">
        <v>285</v>
      </c>
      <c r="D119" s="219" t="s">
        <v>71</v>
      </c>
      <c r="E119" s="220">
        <v>23</v>
      </c>
      <c r="F119" s="221">
        <v>0</v>
      </c>
      <c r="G119" s="221"/>
      <c r="H119" s="221">
        <f t="shared" si="146"/>
        <v>0</v>
      </c>
      <c r="I119" s="220">
        <f t="shared" si="147"/>
        <v>23</v>
      </c>
      <c r="J119" s="222">
        <v>382.24</v>
      </c>
      <c r="K119" s="223">
        <f t="shared" si="140"/>
        <v>466.75</v>
      </c>
      <c r="L119" s="223">
        <f t="shared" si="141"/>
        <v>10735.25</v>
      </c>
      <c r="M119" s="224">
        <f t="shared" si="148"/>
        <v>0</v>
      </c>
      <c r="N119" s="224">
        <f t="shared" si="149"/>
        <v>0</v>
      </c>
      <c r="O119" s="224">
        <f t="shared" si="150"/>
        <v>0</v>
      </c>
      <c r="P119" s="224">
        <f t="shared" si="151"/>
        <v>10735.25</v>
      </c>
      <c r="Q119" s="225">
        <f t="shared" si="135"/>
        <v>0</v>
      </c>
      <c r="R119" s="225">
        <f t="shared" si="136"/>
        <v>0</v>
      </c>
      <c r="S119" s="226">
        <f t="shared" si="137"/>
        <v>100</v>
      </c>
      <c r="T119" s="227">
        <f t="shared" si="134"/>
        <v>0</v>
      </c>
      <c r="Y119" s="229"/>
    </row>
    <row r="120" spans="1:25" customFormat="1" ht="30" customHeight="1" x14ac:dyDescent="0.2">
      <c r="A120" s="34" t="s">
        <v>286</v>
      </c>
      <c r="B120" s="35"/>
      <c r="C120" s="34" t="s">
        <v>287</v>
      </c>
      <c r="D120" s="215"/>
      <c r="E120" s="174" t="s">
        <v>41</v>
      </c>
      <c r="F120" s="185"/>
      <c r="G120" s="185"/>
      <c r="H120" s="185"/>
      <c r="I120" s="185"/>
      <c r="J120" s="114" t="s">
        <v>41</v>
      </c>
      <c r="K120" s="154"/>
      <c r="L120" s="166">
        <f>SUM(L121:L123)</f>
        <v>16114.51</v>
      </c>
      <c r="M120" s="166">
        <f t="shared" ref="M120:P120" si="152">SUM(M121:M123)</f>
        <v>0</v>
      </c>
      <c r="N120" s="166">
        <f t="shared" si="152"/>
        <v>0</v>
      </c>
      <c r="O120" s="166">
        <f t="shared" si="152"/>
        <v>0</v>
      </c>
      <c r="P120" s="166">
        <f t="shared" si="152"/>
        <v>16114.51</v>
      </c>
      <c r="Q120" s="207">
        <f t="shared" si="135"/>
        <v>0</v>
      </c>
      <c r="R120" s="207">
        <f t="shared" si="136"/>
        <v>0</v>
      </c>
      <c r="S120" s="208">
        <f t="shared" si="137"/>
        <v>100</v>
      </c>
      <c r="T120" s="28">
        <f t="shared" si="134"/>
        <v>0</v>
      </c>
      <c r="Y120" s="67"/>
    </row>
    <row r="121" spans="1:25" customFormat="1" ht="25.5" x14ac:dyDescent="0.2">
      <c r="A121" s="71" t="s">
        <v>288</v>
      </c>
      <c r="B121" s="72" t="s">
        <v>271</v>
      </c>
      <c r="C121" s="71" t="s">
        <v>272</v>
      </c>
      <c r="D121" s="72" t="s">
        <v>38</v>
      </c>
      <c r="E121" s="144">
        <v>188</v>
      </c>
      <c r="F121" s="177">
        <v>0</v>
      </c>
      <c r="G121" s="177"/>
      <c r="H121" s="177">
        <f t="shared" ref="H121" si="153">F121+G121</f>
        <v>0</v>
      </c>
      <c r="I121" s="144">
        <f>E121-H121</f>
        <v>188</v>
      </c>
      <c r="J121" s="75">
        <v>62.55</v>
      </c>
      <c r="K121" s="149">
        <f t="shared" ref="K121:K123" si="154">TRUNC(J121*1.2211,2)</f>
        <v>76.37</v>
      </c>
      <c r="L121" s="149">
        <f>TRUNC(E121*K121,2)</f>
        <v>14357.56</v>
      </c>
      <c r="M121" s="157">
        <f t="shared" ref="M121" si="155">ROUND(F121*$K121,2)</f>
        <v>0</v>
      </c>
      <c r="N121" s="157">
        <f t="shared" ref="N121" si="156">ROUND(G121*$K121,2)</f>
        <v>0</v>
      </c>
      <c r="O121" s="157">
        <f t="shared" ref="O121" si="157">ROUND(H121*$K121,2)</f>
        <v>0</v>
      </c>
      <c r="P121" s="157">
        <f t="shared" ref="P121" si="158">ROUND(I121*$K121,2)</f>
        <v>14357.56</v>
      </c>
      <c r="Q121" s="194">
        <f t="shared" si="135"/>
        <v>0</v>
      </c>
      <c r="R121" s="194">
        <f t="shared" si="136"/>
        <v>0</v>
      </c>
      <c r="S121" s="195">
        <f t="shared" si="137"/>
        <v>100</v>
      </c>
      <c r="T121" s="28">
        <f t="shared" si="134"/>
        <v>0</v>
      </c>
      <c r="Y121" s="67"/>
    </row>
    <row r="122" spans="1:25" customFormat="1" ht="25.5" x14ac:dyDescent="0.2">
      <c r="A122" s="71" t="s">
        <v>289</v>
      </c>
      <c r="B122" s="72" t="s">
        <v>169</v>
      </c>
      <c r="C122" s="71" t="s">
        <v>543</v>
      </c>
      <c r="D122" s="72" t="s">
        <v>71</v>
      </c>
      <c r="E122" s="144">
        <v>138</v>
      </c>
      <c r="F122" s="177">
        <v>0</v>
      </c>
      <c r="G122" s="177"/>
      <c r="H122" s="177">
        <f t="shared" ref="H122:H123" si="159">F122+G122</f>
        <v>0</v>
      </c>
      <c r="I122" s="144">
        <f t="shared" ref="I122:I123" si="160">E122-H122</f>
        <v>138</v>
      </c>
      <c r="J122" s="75">
        <v>9.73</v>
      </c>
      <c r="K122" s="149">
        <f t="shared" si="154"/>
        <v>11.88</v>
      </c>
      <c r="L122" s="149">
        <f>TRUNC(E122*K122,2)</f>
        <v>1639.44</v>
      </c>
      <c r="M122" s="157">
        <f t="shared" ref="M122" si="161">ROUND(F122*$K122,2)</f>
        <v>0</v>
      </c>
      <c r="N122" s="157">
        <f t="shared" ref="N122" si="162">ROUND(G122*$K122,2)</f>
        <v>0</v>
      </c>
      <c r="O122" s="157">
        <f t="shared" ref="O122" si="163">ROUND(H122*$K122,2)</f>
        <v>0</v>
      </c>
      <c r="P122" s="157">
        <f t="shared" ref="P122" si="164">ROUND(I122*$K122,2)</f>
        <v>1639.44</v>
      </c>
      <c r="Q122" s="194">
        <f t="shared" si="135"/>
        <v>0</v>
      </c>
      <c r="R122" s="194">
        <f t="shared" si="136"/>
        <v>0</v>
      </c>
      <c r="S122" s="195">
        <f t="shared" si="137"/>
        <v>100</v>
      </c>
      <c r="T122" s="28">
        <f t="shared" si="134"/>
        <v>0</v>
      </c>
      <c r="Y122" s="67"/>
    </row>
    <row r="123" spans="1:25" s="228" customFormat="1" ht="25.5" x14ac:dyDescent="0.2">
      <c r="A123" s="218" t="s">
        <v>290</v>
      </c>
      <c r="B123" s="219" t="s">
        <v>291</v>
      </c>
      <c r="C123" s="218" t="s">
        <v>292</v>
      </c>
      <c r="D123" s="219" t="s">
        <v>71</v>
      </c>
      <c r="E123" s="220">
        <v>4.2</v>
      </c>
      <c r="F123" s="221">
        <v>0</v>
      </c>
      <c r="G123" s="221"/>
      <c r="H123" s="221">
        <f t="shared" si="159"/>
        <v>0</v>
      </c>
      <c r="I123" s="220">
        <f t="shared" si="160"/>
        <v>4.2</v>
      </c>
      <c r="J123" s="222">
        <v>22.92</v>
      </c>
      <c r="K123" s="223">
        <f t="shared" si="154"/>
        <v>27.98</v>
      </c>
      <c r="L123" s="223">
        <f>TRUNC(E123*K123,2)</f>
        <v>117.51</v>
      </c>
      <c r="M123" s="224">
        <f t="shared" ref="M123" si="165">ROUND(F123*$K123,2)</f>
        <v>0</v>
      </c>
      <c r="N123" s="224">
        <f t="shared" ref="N123" si="166">ROUND(G123*$K123,2)</f>
        <v>0</v>
      </c>
      <c r="O123" s="224">
        <f t="shared" ref="O123" si="167">ROUND(H123*$K123,2)</f>
        <v>0</v>
      </c>
      <c r="P123" s="224">
        <f>L123-O123</f>
        <v>117.51</v>
      </c>
      <c r="Q123" s="225">
        <f t="shared" si="135"/>
        <v>0</v>
      </c>
      <c r="R123" s="225">
        <f t="shared" si="136"/>
        <v>0</v>
      </c>
      <c r="S123" s="226">
        <f t="shared" si="137"/>
        <v>100</v>
      </c>
      <c r="T123" s="227">
        <f t="shared" si="134"/>
        <v>0</v>
      </c>
      <c r="Y123" s="229"/>
    </row>
    <row r="124" spans="1:25" customFormat="1" ht="12.75" x14ac:dyDescent="0.2">
      <c r="A124" s="34" t="s">
        <v>293</v>
      </c>
      <c r="B124" s="35"/>
      <c r="C124" s="34" t="s">
        <v>294</v>
      </c>
      <c r="D124" s="215"/>
      <c r="E124" s="174" t="s">
        <v>41</v>
      </c>
      <c r="F124" s="185"/>
      <c r="G124" s="185"/>
      <c r="H124" s="185"/>
      <c r="I124" s="185"/>
      <c r="J124" s="114" t="s">
        <v>41</v>
      </c>
      <c r="K124" s="154"/>
      <c r="L124" s="166">
        <f>L125</f>
        <v>15125.35</v>
      </c>
      <c r="M124" s="166">
        <f t="shared" ref="M124:P124" si="168">M125</f>
        <v>0</v>
      </c>
      <c r="N124" s="166">
        <f t="shared" si="168"/>
        <v>0</v>
      </c>
      <c r="O124" s="166">
        <f t="shared" si="168"/>
        <v>0</v>
      </c>
      <c r="P124" s="166">
        <f t="shared" si="168"/>
        <v>15125.35</v>
      </c>
      <c r="Q124" s="207">
        <f t="shared" si="135"/>
        <v>0</v>
      </c>
      <c r="R124" s="207">
        <f t="shared" si="136"/>
        <v>0</v>
      </c>
      <c r="S124" s="208">
        <f t="shared" si="137"/>
        <v>100</v>
      </c>
      <c r="T124" s="28">
        <f t="shared" si="134"/>
        <v>0</v>
      </c>
      <c r="Y124" s="67"/>
    </row>
    <row r="125" spans="1:25" customFormat="1" ht="25.5" x14ac:dyDescent="0.2">
      <c r="A125" s="71" t="s">
        <v>295</v>
      </c>
      <c r="B125" s="72" t="s">
        <v>296</v>
      </c>
      <c r="C125" s="71" t="s">
        <v>297</v>
      </c>
      <c r="D125" s="72" t="s">
        <v>71</v>
      </c>
      <c r="E125" s="144">
        <v>5.25</v>
      </c>
      <c r="F125" s="177">
        <v>0</v>
      </c>
      <c r="G125" s="177"/>
      <c r="H125" s="177">
        <f t="shared" ref="H125" si="169">F125+G125</f>
        <v>0</v>
      </c>
      <c r="I125" s="144">
        <f>E125-H125</f>
        <v>5.25</v>
      </c>
      <c r="J125" s="75">
        <v>2359.37</v>
      </c>
      <c r="K125" s="149">
        <f>TRUNC(J125*1.2211,2)</f>
        <v>2881.02</v>
      </c>
      <c r="L125" s="149">
        <f>TRUNC(E125*K125,2)</f>
        <v>15125.35</v>
      </c>
      <c r="M125" s="157">
        <f t="shared" ref="M125" si="170">ROUND(F125*$K125,2)</f>
        <v>0</v>
      </c>
      <c r="N125" s="157">
        <f t="shared" ref="N125" si="171">ROUND(G125*$K125,2)</f>
        <v>0</v>
      </c>
      <c r="O125" s="157">
        <f t="shared" ref="O125" si="172">ROUND(H125*$K125,2)</f>
        <v>0</v>
      </c>
      <c r="P125" s="157">
        <f>L125-O125</f>
        <v>15125.35</v>
      </c>
      <c r="Q125" s="194">
        <f t="shared" si="135"/>
        <v>0</v>
      </c>
      <c r="R125" s="194">
        <f t="shared" si="136"/>
        <v>0</v>
      </c>
      <c r="S125" s="195">
        <f t="shared" si="137"/>
        <v>100</v>
      </c>
      <c r="T125" s="28">
        <f t="shared" si="134"/>
        <v>0</v>
      </c>
      <c r="Y125" s="67"/>
    </row>
    <row r="126" spans="1:25" customFormat="1" ht="12.75" x14ac:dyDescent="0.2">
      <c r="A126" s="93" t="s">
        <v>298</v>
      </c>
      <c r="B126" s="94"/>
      <c r="C126" s="93" t="s">
        <v>299</v>
      </c>
      <c r="D126" s="94"/>
      <c r="E126" s="172" t="s">
        <v>41</v>
      </c>
      <c r="F126" s="181"/>
      <c r="G126" s="181"/>
      <c r="H126" s="181"/>
      <c r="I126" s="181"/>
      <c r="J126" s="95" t="s">
        <v>41</v>
      </c>
      <c r="K126" s="147"/>
      <c r="L126" s="155">
        <f>L127+L129+L136+L146+L156</f>
        <v>4362162.93</v>
      </c>
      <c r="M126" s="155">
        <f t="shared" ref="M126:P126" si="173">M127+M129+M136+M146+M156</f>
        <v>4238110.5600000005</v>
      </c>
      <c r="N126" s="155">
        <f t="shared" si="173"/>
        <v>113279.08</v>
      </c>
      <c r="O126" s="155">
        <f t="shared" si="173"/>
        <v>4351389.62</v>
      </c>
      <c r="P126" s="155">
        <f t="shared" si="173"/>
        <v>10773.31000000016</v>
      </c>
      <c r="Q126" s="204">
        <f t="shared" si="135"/>
        <v>2.5968557758570472</v>
      </c>
      <c r="R126" s="204">
        <f t="shared" si="136"/>
        <v>99.753028252890147</v>
      </c>
      <c r="S126" s="191">
        <f t="shared" si="137"/>
        <v>0.24697174710987149</v>
      </c>
      <c r="T126" s="28">
        <f t="shared" si="134"/>
        <v>4351389.6199999992</v>
      </c>
      <c r="Y126" s="67"/>
    </row>
    <row r="127" spans="1:25" customFormat="1" ht="12.75" x14ac:dyDescent="0.2">
      <c r="A127" s="106" t="s">
        <v>300</v>
      </c>
      <c r="B127" s="107"/>
      <c r="C127" s="106" t="s">
        <v>301</v>
      </c>
      <c r="D127" s="107"/>
      <c r="E127" s="169" t="s">
        <v>41</v>
      </c>
      <c r="F127" s="176"/>
      <c r="G127" s="176"/>
      <c r="H127" s="176"/>
      <c r="I127" s="176"/>
      <c r="J127" s="108" t="s">
        <v>41</v>
      </c>
      <c r="K127" s="148"/>
      <c r="L127" s="156">
        <f>L128</f>
        <v>50921.79</v>
      </c>
      <c r="M127" s="156">
        <f t="shared" ref="M127:P127" si="174">M128</f>
        <v>50884.480000000003</v>
      </c>
      <c r="N127" s="156">
        <f t="shared" si="174"/>
        <v>0</v>
      </c>
      <c r="O127" s="156">
        <f t="shared" si="174"/>
        <v>50884.480000000003</v>
      </c>
      <c r="P127" s="156">
        <f t="shared" si="174"/>
        <v>37.309999999997672</v>
      </c>
      <c r="Q127" s="196">
        <f t="shared" si="135"/>
        <v>0</v>
      </c>
      <c r="R127" s="196">
        <f t="shared" si="136"/>
        <v>99.926730776746069</v>
      </c>
      <c r="S127" s="193">
        <f t="shared" si="137"/>
        <v>7.3269223253930524E-2</v>
      </c>
      <c r="T127" s="28">
        <f t="shared" si="134"/>
        <v>50884.480000000003</v>
      </c>
      <c r="Y127" s="67"/>
    </row>
    <row r="128" spans="1:25" customFormat="1" ht="12.75" x14ac:dyDescent="0.2">
      <c r="A128" s="71" t="s">
        <v>302</v>
      </c>
      <c r="B128" s="30"/>
      <c r="C128" s="71" t="s">
        <v>303</v>
      </c>
      <c r="D128" s="72" t="s">
        <v>38</v>
      </c>
      <c r="E128" s="144">
        <v>73799.7</v>
      </c>
      <c r="F128" s="144">
        <v>73745.628000000012</v>
      </c>
      <c r="G128" s="144"/>
      <c r="H128" s="144">
        <f t="shared" ref="H128" si="175">F128+G128</f>
        <v>73745.628000000012</v>
      </c>
      <c r="I128" s="144">
        <f>E128-H128</f>
        <v>54.071999999985565</v>
      </c>
      <c r="J128" s="75">
        <v>0.56999999999999995</v>
      </c>
      <c r="K128" s="149">
        <f>TRUNC(J128*1.2211,2)</f>
        <v>0.69</v>
      </c>
      <c r="L128" s="149">
        <f>TRUNC(E128*K128,2)</f>
        <v>50921.79</v>
      </c>
      <c r="M128" s="157">
        <f t="shared" ref="M128" si="176">ROUND(F128*$K128,2)</f>
        <v>50884.480000000003</v>
      </c>
      <c r="N128" s="157">
        <f t="shared" ref="N128" si="177">ROUND(G128*$K128,2)</f>
        <v>0</v>
      </c>
      <c r="O128" s="157">
        <f t="shared" ref="O128" si="178">ROUND(H128*$K128,2)</f>
        <v>50884.480000000003</v>
      </c>
      <c r="P128" s="157">
        <f>L128-O128</f>
        <v>37.309999999997672</v>
      </c>
      <c r="Q128" s="194">
        <f t="shared" si="135"/>
        <v>0</v>
      </c>
      <c r="R128" s="194">
        <f t="shared" si="136"/>
        <v>99.926730776746069</v>
      </c>
      <c r="S128" s="195">
        <f t="shared" si="137"/>
        <v>7.3269223253930524E-2</v>
      </c>
      <c r="T128" s="28">
        <f t="shared" si="134"/>
        <v>50884.480000000003</v>
      </c>
      <c r="Y128" s="67"/>
    </row>
    <row r="129" spans="1:25" customFormat="1" ht="12.75" x14ac:dyDescent="0.2">
      <c r="A129" s="106" t="s">
        <v>304</v>
      </c>
      <c r="B129" s="107"/>
      <c r="C129" s="106" t="s">
        <v>490</v>
      </c>
      <c r="D129" s="107"/>
      <c r="E129" s="169" t="s">
        <v>41</v>
      </c>
      <c r="F129" s="176"/>
      <c r="G129" s="176"/>
      <c r="H129" s="176"/>
      <c r="I129" s="176"/>
      <c r="J129" s="108" t="s">
        <v>41</v>
      </c>
      <c r="K129" s="148"/>
      <c r="L129" s="156">
        <f>L130+L134</f>
        <v>1103096.31</v>
      </c>
      <c r="M129" s="156">
        <f t="shared" ref="M129:P129" si="179">M130+M134</f>
        <v>1103094.83</v>
      </c>
      <c r="N129" s="156">
        <f t="shared" si="179"/>
        <v>0</v>
      </c>
      <c r="O129" s="156">
        <f t="shared" si="179"/>
        <v>1103094.83</v>
      </c>
      <c r="P129" s="156">
        <f t="shared" si="179"/>
        <v>1.4800000000104774</v>
      </c>
      <c r="Q129" s="196">
        <f t="shared" si="135"/>
        <v>0</v>
      </c>
      <c r="R129" s="196">
        <f t="shared" si="136"/>
        <v>99.99986583220462</v>
      </c>
      <c r="S129" s="193">
        <f t="shared" si="137"/>
        <v>1.3416779537685856E-4</v>
      </c>
      <c r="T129" s="28">
        <f t="shared" si="134"/>
        <v>1103094.83</v>
      </c>
      <c r="Y129" s="67"/>
    </row>
    <row r="130" spans="1:25" customFormat="1" ht="12.75" x14ac:dyDescent="0.2">
      <c r="A130" s="34" t="s">
        <v>305</v>
      </c>
      <c r="B130" s="35"/>
      <c r="C130" s="34" t="s">
        <v>306</v>
      </c>
      <c r="D130" s="35"/>
      <c r="E130" s="173" t="s">
        <v>41</v>
      </c>
      <c r="F130" s="182"/>
      <c r="G130" s="182"/>
      <c r="H130" s="182"/>
      <c r="I130" s="182"/>
      <c r="J130" s="113" t="s">
        <v>41</v>
      </c>
      <c r="K130" s="153"/>
      <c r="L130" s="165">
        <f>SUM(L131:L133)</f>
        <v>745803.96</v>
      </c>
      <c r="M130" s="165">
        <f t="shared" ref="M130:P130" si="180">SUM(M131:M133)</f>
        <v>745803.98</v>
      </c>
      <c r="N130" s="165">
        <f t="shared" si="180"/>
        <v>0</v>
      </c>
      <c r="O130" s="165">
        <f t="shared" si="180"/>
        <v>745803.98</v>
      </c>
      <c r="P130" s="165">
        <f t="shared" si="180"/>
        <v>-1.9999999989522621E-2</v>
      </c>
      <c r="Q130" s="205">
        <f t="shared" si="135"/>
        <v>0</v>
      </c>
      <c r="R130" s="205">
        <f t="shared" si="136"/>
        <v>100.00000268166987</v>
      </c>
      <c r="S130" s="206">
        <f t="shared" si="137"/>
        <v>-2.6816698572534559E-6</v>
      </c>
      <c r="T130" s="28">
        <f t="shared" si="134"/>
        <v>745803.98</v>
      </c>
      <c r="Y130" s="67"/>
    </row>
    <row r="131" spans="1:25" s="228" customFormat="1" ht="25.5" x14ac:dyDescent="0.2">
      <c r="A131" s="218" t="s">
        <v>307</v>
      </c>
      <c r="B131" s="219" t="s">
        <v>75</v>
      </c>
      <c r="C131" s="218" t="s">
        <v>512</v>
      </c>
      <c r="D131" s="219" t="s">
        <v>71</v>
      </c>
      <c r="E131" s="220">
        <v>32506.82</v>
      </c>
      <c r="F131" s="220">
        <v>32506.82</v>
      </c>
      <c r="G131" s="220"/>
      <c r="H131" s="220">
        <f t="shared" ref="H131" si="181">F131+G131</f>
        <v>32506.82</v>
      </c>
      <c r="I131" s="220">
        <f>E131-H131</f>
        <v>0</v>
      </c>
      <c r="J131" s="222">
        <v>6.65</v>
      </c>
      <c r="K131" s="223">
        <f t="shared" ref="K131:K133" si="182">TRUNC(J131*1.2211,2)</f>
        <v>8.1199999999999992</v>
      </c>
      <c r="L131" s="223">
        <f>TRUNC(E131*K131,2)</f>
        <v>263955.37</v>
      </c>
      <c r="M131" s="224">
        <f t="shared" ref="M131" si="183">ROUND(F131*$K131,2)</f>
        <v>263955.38</v>
      </c>
      <c r="N131" s="224">
        <f t="shared" ref="N131" si="184">ROUND(G131*$K131,2)</f>
        <v>0</v>
      </c>
      <c r="O131" s="224">
        <f t="shared" ref="O131" si="185">ROUND(H131*$K131,2)</f>
        <v>263955.38</v>
      </c>
      <c r="P131" s="224">
        <f>L131-O131</f>
        <v>-1.0000000009313226E-2</v>
      </c>
      <c r="Q131" s="225">
        <f t="shared" si="135"/>
        <v>0</v>
      </c>
      <c r="R131" s="225">
        <f t="shared" si="136"/>
        <v>100.00000378851925</v>
      </c>
      <c r="S131" s="226">
        <f t="shared" si="137"/>
        <v>-3.7885192520664482E-6</v>
      </c>
      <c r="T131" s="227">
        <f t="shared" si="134"/>
        <v>263955.38</v>
      </c>
      <c r="Y131" s="229"/>
    </row>
    <row r="132" spans="1:25" customFormat="1" ht="25.5" x14ac:dyDescent="0.2">
      <c r="A132" s="71" t="s">
        <v>308</v>
      </c>
      <c r="B132" s="30">
        <v>5914389</v>
      </c>
      <c r="C132" s="71" t="s">
        <v>513</v>
      </c>
      <c r="D132" s="72" t="s">
        <v>79</v>
      </c>
      <c r="E132" s="144">
        <v>153594.72</v>
      </c>
      <c r="F132" s="144">
        <v>153594.723</v>
      </c>
      <c r="G132" s="144"/>
      <c r="H132" s="144">
        <f t="shared" ref="H132:H133" si="186">F132+G132</f>
        <v>153594.723</v>
      </c>
      <c r="I132" s="144">
        <v>0</v>
      </c>
      <c r="J132" s="75">
        <v>0.81</v>
      </c>
      <c r="K132" s="149">
        <f t="shared" si="182"/>
        <v>0.98</v>
      </c>
      <c r="L132" s="149">
        <f>TRUNC(E132*K132,2)</f>
        <v>150522.82</v>
      </c>
      <c r="M132" s="157">
        <f t="shared" ref="M132:M133" si="187">ROUND(F132*$K132,2)</f>
        <v>150522.82999999999</v>
      </c>
      <c r="N132" s="157">
        <f t="shared" ref="N132:N133" si="188">ROUND(G132*$K132,2)</f>
        <v>0</v>
      </c>
      <c r="O132" s="157">
        <f t="shared" ref="O132:O133" si="189">ROUND(H132*$K132,2)</f>
        <v>150522.82999999999</v>
      </c>
      <c r="P132" s="157">
        <f>L132-O132</f>
        <v>-9.9999999802093953E-3</v>
      </c>
      <c r="Q132" s="194">
        <f t="shared" si="135"/>
        <v>0</v>
      </c>
      <c r="R132" s="194">
        <f t="shared" si="136"/>
        <v>100.00000664351091</v>
      </c>
      <c r="S132" s="195">
        <f t="shared" si="137"/>
        <v>-6.6435109176199304E-6</v>
      </c>
      <c r="T132" s="28">
        <f t="shared" si="134"/>
        <v>150522.82999999999</v>
      </c>
      <c r="Y132" s="67"/>
    </row>
    <row r="133" spans="1:25" customFormat="1" ht="25.5" x14ac:dyDescent="0.2">
      <c r="A133" s="71" t="s">
        <v>310</v>
      </c>
      <c r="B133" s="30">
        <v>5914359</v>
      </c>
      <c r="C133" s="71" t="s">
        <v>78</v>
      </c>
      <c r="D133" s="72" t="s">
        <v>79</v>
      </c>
      <c r="E133" s="144">
        <v>219421.04</v>
      </c>
      <c r="F133" s="144">
        <v>219421.04200000002</v>
      </c>
      <c r="G133" s="144"/>
      <c r="H133" s="144">
        <f t="shared" si="186"/>
        <v>219421.04200000002</v>
      </c>
      <c r="I133" s="144">
        <v>0</v>
      </c>
      <c r="J133" s="75">
        <v>1.24</v>
      </c>
      <c r="K133" s="149">
        <f t="shared" si="182"/>
        <v>1.51</v>
      </c>
      <c r="L133" s="149">
        <f>TRUNC(E133*K133,2)</f>
        <v>331325.77</v>
      </c>
      <c r="M133" s="157">
        <f t="shared" si="187"/>
        <v>331325.77</v>
      </c>
      <c r="N133" s="157">
        <f t="shared" si="188"/>
        <v>0</v>
      </c>
      <c r="O133" s="157">
        <f t="shared" si="189"/>
        <v>331325.77</v>
      </c>
      <c r="P133" s="157">
        <f>L133-O133</f>
        <v>0</v>
      </c>
      <c r="Q133" s="194">
        <f t="shared" si="135"/>
        <v>0</v>
      </c>
      <c r="R133" s="194">
        <f t="shared" si="136"/>
        <v>100</v>
      </c>
      <c r="S133" s="195">
        <f t="shared" si="137"/>
        <v>0</v>
      </c>
      <c r="T133" s="28">
        <f t="shared" si="134"/>
        <v>331325.77</v>
      </c>
      <c r="Y133" s="67"/>
    </row>
    <row r="134" spans="1:25" customFormat="1" ht="12.75" x14ac:dyDescent="0.2">
      <c r="A134" s="34" t="s">
        <v>311</v>
      </c>
      <c r="B134" s="35"/>
      <c r="C134" s="34" t="s">
        <v>312</v>
      </c>
      <c r="D134" s="35"/>
      <c r="E134" s="173" t="s">
        <v>41</v>
      </c>
      <c r="F134" s="182"/>
      <c r="G134" s="182"/>
      <c r="H134" s="182"/>
      <c r="I134" s="182"/>
      <c r="J134" s="113" t="s">
        <v>41</v>
      </c>
      <c r="K134" s="153"/>
      <c r="L134" s="165">
        <f>SUM(L135)</f>
        <v>357292.35</v>
      </c>
      <c r="M134" s="165">
        <f t="shared" ref="M134:P134" si="190">SUM(M135)</f>
        <v>357290.85</v>
      </c>
      <c r="N134" s="165">
        <f t="shared" si="190"/>
        <v>0</v>
      </c>
      <c r="O134" s="165">
        <f t="shared" si="190"/>
        <v>357290.85</v>
      </c>
      <c r="P134" s="165">
        <f t="shared" si="190"/>
        <v>1.5</v>
      </c>
      <c r="Q134" s="205">
        <f t="shared" si="135"/>
        <v>0</v>
      </c>
      <c r="R134" s="205">
        <f t="shared" si="136"/>
        <v>99.999580175730046</v>
      </c>
      <c r="S134" s="206">
        <f t="shared" si="137"/>
        <v>4.1982426995708139E-4</v>
      </c>
      <c r="T134" s="28">
        <f t="shared" si="134"/>
        <v>357290.85</v>
      </c>
      <c r="Y134" s="67"/>
    </row>
    <row r="135" spans="1:25" customFormat="1" ht="12.75" x14ac:dyDescent="0.2">
      <c r="A135" s="71" t="s">
        <v>313</v>
      </c>
      <c r="B135" s="72" t="s">
        <v>314</v>
      </c>
      <c r="C135" s="71" t="s">
        <v>315</v>
      </c>
      <c r="D135" s="72" t="s">
        <v>71</v>
      </c>
      <c r="E135" s="144">
        <v>22613.439999999999</v>
      </c>
      <c r="F135" s="144">
        <v>22613.345200000022</v>
      </c>
      <c r="G135" s="144"/>
      <c r="H135" s="144">
        <f t="shared" ref="H135" si="191">F135+G135</f>
        <v>22613.345200000022</v>
      </c>
      <c r="I135" s="144">
        <f>E135-H135</f>
        <v>9.4799999977112748E-2</v>
      </c>
      <c r="J135" s="75">
        <v>12.94</v>
      </c>
      <c r="K135" s="149">
        <f>TRUNC(J135*1.2211,2)</f>
        <v>15.8</v>
      </c>
      <c r="L135" s="149">
        <f>TRUNC(E135*K135,2)</f>
        <v>357292.35</v>
      </c>
      <c r="M135" s="157">
        <f t="shared" ref="M135" si="192">ROUND(F135*$K135,2)</f>
        <v>357290.85</v>
      </c>
      <c r="N135" s="157">
        <f t="shared" ref="N135" si="193">ROUND(G135*$K135,2)</f>
        <v>0</v>
      </c>
      <c r="O135" s="157">
        <f t="shared" ref="O135" si="194">ROUND(H135*$K135,2)</f>
        <v>357290.85</v>
      </c>
      <c r="P135" s="157">
        <f>L135-O135</f>
        <v>1.5</v>
      </c>
      <c r="Q135" s="194">
        <f t="shared" si="135"/>
        <v>0</v>
      </c>
      <c r="R135" s="194">
        <f t="shared" si="136"/>
        <v>99.999580175730046</v>
      </c>
      <c r="S135" s="195">
        <f t="shared" si="137"/>
        <v>4.1982426995708139E-4</v>
      </c>
      <c r="T135" s="28">
        <f t="shared" si="134"/>
        <v>357290.85</v>
      </c>
      <c r="Y135" s="67"/>
    </row>
    <row r="136" spans="1:25" customFormat="1" ht="12.75" x14ac:dyDescent="0.2">
      <c r="A136" s="106" t="s">
        <v>316</v>
      </c>
      <c r="B136" s="107"/>
      <c r="C136" s="106" t="s">
        <v>317</v>
      </c>
      <c r="D136" s="107"/>
      <c r="E136" s="169" t="s">
        <v>41</v>
      </c>
      <c r="F136" s="176"/>
      <c r="G136" s="176"/>
      <c r="H136" s="176"/>
      <c r="I136" s="176"/>
      <c r="J136" s="108" t="s">
        <v>41</v>
      </c>
      <c r="K136" s="148"/>
      <c r="L136" s="156">
        <f>L137+L141+L144</f>
        <v>1040170.4800000001</v>
      </c>
      <c r="M136" s="156">
        <f t="shared" ref="M136:P136" si="195">M137+M141+M144</f>
        <v>1030931.3999999999</v>
      </c>
      <c r="N136" s="156">
        <f t="shared" si="195"/>
        <v>0</v>
      </c>
      <c r="O136" s="156">
        <f t="shared" si="195"/>
        <v>1030931.3999999999</v>
      </c>
      <c r="P136" s="156">
        <f t="shared" si="195"/>
        <v>9239.0800000000309</v>
      </c>
      <c r="Q136" s="196">
        <f t="shared" si="135"/>
        <v>0</v>
      </c>
      <c r="R136" s="196">
        <f t="shared" si="136"/>
        <v>99.11177252405777</v>
      </c>
      <c r="S136" s="193">
        <f t="shared" si="137"/>
        <v>0.88822747594221574</v>
      </c>
      <c r="T136" s="28">
        <f t="shared" si="134"/>
        <v>1030931.4</v>
      </c>
      <c r="Y136" s="67"/>
    </row>
    <row r="137" spans="1:25" customFormat="1" ht="12.75" x14ac:dyDescent="0.2">
      <c r="A137" s="34" t="s">
        <v>318</v>
      </c>
      <c r="B137" s="35"/>
      <c r="C137" s="34" t="s">
        <v>319</v>
      </c>
      <c r="D137" s="35"/>
      <c r="E137" s="173" t="s">
        <v>41</v>
      </c>
      <c r="F137" s="182"/>
      <c r="G137" s="182"/>
      <c r="H137" s="182"/>
      <c r="I137" s="182"/>
      <c r="J137" s="113" t="s">
        <v>41</v>
      </c>
      <c r="K137" s="153"/>
      <c r="L137" s="165">
        <f>SUM(L138:L140)</f>
        <v>239321.71000000002</v>
      </c>
      <c r="M137" s="165">
        <f t="shared" ref="M137:P137" si="196">SUM(M138:M140)</f>
        <v>239321.71000000002</v>
      </c>
      <c r="N137" s="165">
        <f t="shared" si="196"/>
        <v>0</v>
      </c>
      <c r="O137" s="165">
        <f t="shared" si="196"/>
        <v>239321.71000000002</v>
      </c>
      <c r="P137" s="165">
        <f t="shared" si="196"/>
        <v>0</v>
      </c>
      <c r="Q137" s="205">
        <f t="shared" si="135"/>
        <v>0</v>
      </c>
      <c r="R137" s="205">
        <f t="shared" si="136"/>
        <v>100</v>
      </c>
      <c r="S137" s="206">
        <f t="shared" si="137"/>
        <v>0</v>
      </c>
      <c r="T137" s="28">
        <f t="shared" si="134"/>
        <v>239321.71000000002</v>
      </c>
      <c r="Y137" s="67"/>
    </row>
    <row r="138" spans="1:25" customFormat="1" ht="25.5" x14ac:dyDescent="0.2">
      <c r="A138" s="71" t="s">
        <v>320</v>
      </c>
      <c r="B138" s="72" t="s">
        <v>321</v>
      </c>
      <c r="C138" s="71" t="s">
        <v>322</v>
      </c>
      <c r="D138" s="72" t="s">
        <v>71</v>
      </c>
      <c r="E138" s="144">
        <v>10649.3</v>
      </c>
      <c r="F138" s="144">
        <v>10649.298748000003</v>
      </c>
      <c r="G138" s="144"/>
      <c r="H138" s="144">
        <f t="shared" ref="H138" si="197">F138+G138</f>
        <v>10649.298748000003</v>
      </c>
      <c r="I138" s="144">
        <f>E138-H138</f>
        <v>1.2519999963842565E-3</v>
      </c>
      <c r="J138" s="75">
        <v>6.27</v>
      </c>
      <c r="K138" s="149">
        <f t="shared" ref="K138:K140" si="198">TRUNC(J138*1.2211,2)</f>
        <v>7.65</v>
      </c>
      <c r="L138" s="149">
        <f>TRUNC(E138*K138,2)</f>
        <v>81467.14</v>
      </c>
      <c r="M138" s="157">
        <f t="shared" ref="M138" si="199">ROUND(F138*$K138,2)</f>
        <v>81467.14</v>
      </c>
      <c r="N138" s="157">
        <f t="shared" ref="N138" si="200">ROUND(G138*$K138,2)</f>
        <v>0</v>
      </c>
      <c r="O138" s="157">
        <f t="shared" ref="O138" si="201">ROUND(H138*$K138,2)</f>
        <v>81467.14</v>
      </c>
      <c r="P138" s="157">
        <f>L138-O138</f>
        <v>0</v>
      </c>
      <c r="Q138" s="194">
        <f t="shared" si="135"/>
        <v>0</v>
      </c>
      <c r="R138" s="194">
        <f t="shared" si="136"/>
        <v>100</v>
      </c>
      <c r="S138" s="195">
        <f t="shared" si="137"/>
        <v>0</v>
      </c>
      <c r="T138" s="28">
        <f t="shared" si="134"/>
        <v>81467.14</v>
      </c>
      <c r="Y138" s="67"/>
    </row>
    <row r="139" spans="1:25" customFormat="1" ht="25.5" x14ac:dyDescent="0.2">
      <c r="A139" s="71" t="s">
        <v>323</v>
      </c>
      <c r="B139" s="30">
        <v>5914389</v>
      </c>
      <c r="C139" s="71" t="s">
        <v>309</v>
      </c>
      <c r="D139" s="72" t="s">
        <v>79</v>
      </c>
      <c r="E139" s="144">
        <v>50317.94</v>
      </c>
      <c r="F139" s="144">
        <v>50317.937218999999</v>
      </c>
      <c r="G139" s="144"/>
      <c r="H139" s="144">
        <f t="shared" ref="H139:H140" si="202">F139+G139</f>
        <v>50317.937218999999</v>
      </c>
      <c r="I139" s="144">
        <f t="shared" ref="I139:I140" si="203">E139-H139</f>
        <v>2.7810000028694049E-3</v>
      </c>
      <c r="J139" s="75">
        <v>0.81</v>
      </c>
      <c r="K139" s="149">
        <f t="shared" si="198"/>
        <v>0.98</v>
      </c>
      <c r="L139" s="149">
        <f>TRUNC(E139*K139,2)</f>
        <v>49311.58</v>
      </c>
      <c r="M139" s="157">
        <f t="shared" ref="M139:M140" si="204">ROUND(F139*$K139,2)</f>
        <v>49311.58</v>
      </c>
      <c r="N139" s="157">
        <f t="shared" ref="N139:N140" si="205">ROUND(G139*$K139,2)</f>
        <v>0</v>
      </c>
      <c r="O139" s="157">
        <f t="shared" ref="O139:O140" si="206">ROUND(H139*$K139,2)</f>
        <v>49311.58</v>
      </c>
      <c r="P139" s="157">
        <f t="shared" ref="P139:P140" si="207">L139-O139</f>
        <v>0</v>
      </c>
      <c r="Q139" s="194">
        <f t="shared" si="135"/>
        <v>0</v>
      </c>
      <c r="R139" s="194">
        <f t="shared" si="136"/>
        <v>100</v>
      </c>
      <c r="S139" s="195">
        <f t="shared" si="137"/>
        <v>0</v>
      </c>
      <c r="T139" s="28">
        <f t="shared" si="134"/>
        <v>49311.58</v>
      </c>
      <c r="Y139" s="67"/>
    </row>
    <row r="140" spans="1:25" customFormat="1" ht="25.5" x14ac:dyDescent="0.2">
      <c r="A140" s="71" t="s">
        <v>324</v>
      </c>
      <c r="B140" s="30">
        <v>5914359</v>
      </c>
      <c r="C140" s="71" t="s">
        <v>78</v>
      </c>
      <c r="D140" s="72" t="s">
        <v>79</v>
      </c>
      <c r="E140" s="144">
        <v>71882.78</v>
      </c>
      <c r="F140" s="144">
        <v>71882.777000000002</v>
      </c>
      <c r="G140" s="144"/>
      <c r="H140" s="144">
        <f t="shared" si="202"/>
        <v>71882.777000000002</v>
      </c>
      <c r="I140" s="144">
        <f t="shared" si="203"/>
        <v>2.9999999969732016E-3</v>
      </c>
      <c r="J140" s="75">
        <v>1.24</v>
      </c>
      <c r="K140" s="149">
        <f t="shared" si="198"/>
        <v>1.51</v>
      </c>
      <c r="L140" s="149">
        <f>TRUNC(E140*K140,2)</f>
        <v>108542.99</v>
      </c>
      <c r="M140" s="157">
        <f t="shared" si="204"/>
        <v>108542.99</v>
      </c>
      <c r="N140" s="157">
        <f t="shared" si="205"/>
        <v>0</v>
      </c>
      <c r="O140" s="157">
        <f t="shared" si="206"/>
        <v>108542.99</v>
      </c>
      <c r="P140" s="157">
        <f t="shared" si="207"/>
        <v>0</v>
      </c>
      <c r="Q140" s="194">
        <f t="shared" si="135"/>
        <v>0</v>
      </c>
      <c r="R140" s="194">
        <f t="shared" si="136"/>
        <v>100</v>
      </c>
      <c r="S140" s="195">
        <f t="shared" si="137"/>
        <v>0</v>
      </c>
      <c r="T140" s="28">
        <f t="shared" si="134"/>
        <v>108542.99</v>
      </c>
      <c r="Y140" s="67"/>
    </row>
    <row r="141" spans="1:25" customFormat="1" ht="12.75" x14ac:dyDescent="0.2">
      <c r="A141" s="34" t="s">
        <v>325</v>
      </c>
      <c r="B141" s="35"/>
      <c r="C141" s="34" t="s">
        <v>326</v>
      </c>
      <c r="D141" s="35"/>
      <c r="E141" s="173" t="s">
        <v>41</v>
      </c>
      <c r="F141" s="182"/>
      <c r="G141" s="182"/>
      <c r="H141" s="182"/>
      <c r="I141" s="182"/>
      <c r="J141" s="113" t="s">
        <v>41</v>
      </c>
      <c r="K141" s="153"/>
      <c r="L141" s="165">
        <f>SUM(L142:L143)</f>
        <v>692107.64</v>
      </c>
      <c r="M141" s="165">
        <f t="shared" ref="M141:P141" si="208">SUM(M142:M143)</f>
        <v>692107.42999999993</v>
      </c>
      <c r="N141" s="165">
        <f t="shared" si="208"/>
        <v>0</v>
      </c>
      <c r="O141" s="165">
        <f t="shared" si="208"/>
        <v>692107.42999999993</v>
      </c>
      <c r="P141" s="165">
        <f t="shared" si="208"/>
        <v>0.21000000002095476</v>
      </c>
      <c r="Q141" s="205">
        <f t="shared" si="135"/>
        <v>0</v>
      </c>
      <c r="R141" s="205">
        <f t="shared" si="136"/>
        <v>99.999969657898873</v>
      </c>
      <c r="S141" s="206">
        <f t="shared" si="137"/>
        <v>3.034210112475492E-5</v>
      </c>
      <c r="T141" s="28">
        <f t="shared" si="134"/>
        <v>692107.42999999993</v>
      </c>
      <c r="Y141" s="67"/>
    </row>
    <row r="142" spans="1:25" customFormat="1" ht="25.5" x14ac:dyDescent="0.2">
      <c r="A142" s="71" t="s">
        <v>327</v>
      </c>
      <c r="B142" s="72" t="s">
        <v>328</v>
      </c>
      <c r="C142" s="71" t="s">
        <v>497</v>
      </c>
      <c r="D142" s="72" t="s">
        <v>71</v>
      </c>
      <c r="E142" s="144">
        <v>7572.8329999999996</v>
      </c>
      <c r="F142" s="144">
        <v>7572.83</v>
      </c>
      <c r="G142" s="144"/>
      <c r="H142" s="144">
        <f t="shared" ref="H142" si="209">F142+G142</f>
        <v>7572.83</v>
      </c>
      <c r="I142" s="144">
        <f>E142-H142</f>
        <v>2.9999999997016857E-3</v>
      </c>
      <c r="J142" s="75">
        <v>54.32</v>
      </c>
      <c r="K142" s="149">
        <f t="shared" ref="K142:K143" si="210">TRUNC(J142*1.2211,2)</f>
        <v>66.33</v>
      </c>
      <c r="L142" s="149">
        <f>TRUNC(E142*K142,2)</f>
        <v>502306.01</v>
      </c>
      <c r="M142" s="157">
        <f t="shared" ref="M142" si="211">ROUND(F142*$K142,2)</f>
        <v>502305.81</v>
      </c>
      <c r="N142" s="157">
        <f t="shared" ref="N142" si="212">ROUND(G142*$K142,2)</f>
        <v>0</v>
      </c>
      <c r="O142" s="157">
        <f t="shared" ref="O142" si="213">ROUND(H142*$K142,2)</f>
        <v>502305.81</v>
      </c>
      <c r="P142" s="157">
        <f>L142-O142</f>
        <v>0.20000000001164153</v>
      </c>
      <c r="Q142" s="194">
        <f t="shared" si="135"/>
        <v>0</v>
      </c>
      <c r="R142" s="194">
        <f t="shared" si="136"/>
        <v>99.999960183633874</v>
      </c>
      <c r="S142" s="195">
        <f t="shared" si="137"/>
        <v>3.9816366125430496E-5</v>
      </c>
      <c r="T142" s="28">
        <f t="shared" ref="T142:T207" si="214">L142-P142</f>
        <v>502305.81</v>
      </c>
      <c r="Y142" s="67"/>
    </row>
    <row r="143" spans="1:25" customFormat="1" ht="25.5" x14ac:dyDescent="0.2">
      <c r="A143" s="71" t="s">
        <v>329</v>
      </c>
      <c r="B143" s="30">
        <v>5914389</v>
      </c>
      <c r="C143" s="71" t="s">
        <v>309</v>
      </c>
      <c r="D143" s="72" t="s">
        <v>79</v>
      </c>
      <c r="E143" s="144">
        <v>193675.13399999999</v>
      </c>
      <c r="F143" s="144">
        <v>193675.13405000002</v>
      </c>
      <c r="G143" s="144"/>
      <c r="H143" s="144">
        <f t="shared" ref="H143" si="215">F143+G143</f>
        <v>193675.13405000002</v>
      </c>
      <c r="I143" s="144">
        <v>0</v>
      </c>
      <c r="J143" s="75">
        <v>0.81</v>
      </c>
      <c r="K143" s="149">
        <f t="shared" si="210"/>
        <v>0.98</v>
      </c>
      <c r="L143" s="149">
        <f>TRUNC(E143*K143,2)</f>
        <v>189801.63</v>
      </c>
      <c r="M143" s="157">
        <v>189801.62</v>
      </c>
      <c r="N143" s="157">
        <f t="shared" ref="N143" si="216">ROUND(G143*$K143,2)</f>
        <v>0</v>
      </c>
      <c r="O143" s="157">
        <f>ROUND(H143*$K143,2)-0.01</f>
        <v>189801.62</v>
      </c>
      <c r="P143" s="157">
        <f>L143-O143</f>
        <v>1.0000000009313226E-2</v>
      </c>
      <c r="Q143" s="194">
        <f t="shared" si="135"/>
        <v>0</v>
      </c>
      <c r="R143" s="194">
        <f t="shared" si="136"/>
        <v>99.999994731341346</v>
      </c>
      <c r="S143" s="195">
        <f t="shared" si="137"/>
        <v>5.2686586565738267E-6</v>
      </c>
      <c r="T143" s="28">
        <f t="shared" si="214"/>
        <v>189801.62</v>
      </c>
      <c r="Y143" s="67"/>
    </row>
    <row r="144" spans="1:25" customFormat="1" ht="12.75" x14ac:dyDescent="0.2">
      <c r="A144" s="34" t="s">
        <v>330</v>
      </c>
      <c r="B144" s="35"/>
      <c r="C144" s="34" t="s">
        <v>331</v>
      </c>
      <c r="D144" s="35"/>
      <c r="E144" s="173" t="s">
        <v>41</v>
      </c>
      <c r="F144" s="182"/>
      <c r="G144" s="182"/>
      <c r="H144" s="182"/>
      <c r="I144" s="182"/>
      <c r="J144" s="113" t="s">
        <v>41</v>
      </c>
      <c r="K144" s="153"/>
      <c r="L144" s="165">
        <f>SUM(L145)</f>
        <v>108741.13</v>
      </c>
      <c r="M144" s="165">
        <f t="shared" ref="M144:P144" si="217">SUM(M145)</f>
        <v>99502.26</v>
      </c>
      <c r="N144" s="165">
        <f t="shared" si="217"/>
        <v>0</v>
      </c>
      <c r="O144" s="165">
        <f t="shared" si="217"/>
        <v>99502.26</v>
      </c>
      <c r="P144" s="165">
        <f t="shared" si="217"/>
        <v>9238.8700000000099</v>
      </c>
      <c r="Q144" s="205">
        <f t="shared" si="135"/>
        <v>0</v>
      </c>
      <c r="R144" s="205">
        <f t="shared" si="136"/>
        <v>91.503794378447225</v>
      </c>
      <c r="S144" s="206">
        <f t="shared" si="137"/>
        <v>8.4962056215527735</v>
      </c>
      <c r="T144" s="28">
        <f t="shared" si="214"/>
        <v>99502.26</v>
      </c>
      <c r="Y144" s="67"/>
    </row>
    <row r="145" spans="1:25" customFormat="1" ht="25.5" x14ac:dyDescent="0.2">
      <c r="A145" s="71" t="s">
        <v>332</v>
      </c>
      <c r="B145" s="72" t="s">
        <v>333</v>
      </c>
      <c r="C145" s="71" t="s">
        <v>491</v>
      </c>
      <c r="D145" s="72" t="s">
        <v>71</v>
      </c>
      <c r="E145" s="144">
        <v>11832.55</v>
      </c>
      <c r="F145" s="144">
        <v>10827.2322</v>
      </c>
      <c r="G145" s="144"/>
      <c r="H145" s="144">
        <f t="shared" ref="H145" si="218">F145+G145</f>
        <v>10827.2322</v>
      </c>
      <c r="I145" s="144">
        <f>E145-H145</f>
        <v>1005.3177999999989</v>
      </c>
      <c r="J145" s="75">
        <v>7.53</v>
      </c>
      <c r="K145" s="149">
        <f>TRUNC(J145*1.2211,2)</f>
        <v>9.19</v>
      </c>
      <c r="L145" s="149">
        <f>TRUNC(E145*K145,2)</f>
        <v>108741.13</v>
      </c>
      <c r="M145" s="157">
        <f t="shared" ref="M145" si="219">ROUND(F145*$K145,2)</f>
        <v>99502.26</v>
      </c>
      <c r="N145" s="157">
        <f t="shared" ref="N145" si="220">ROUND(G145*$K145,2)</f>
        <v>0</v>
      </c>
      <c r="O145" s="157">
        <f t="shared" ref="O145" si="221">ROUND(H145*$K145,2)</f>
        <v>99502.26</v>
      </c>
      <c r="P145" s="157">
        <f>L145-O145</f>
        <v>9238.8700000000099</v>
      </c>
      <c r="Q145" s="194">
        <f t="shared" si="135"/>
        <v>0</v>
      </c>
      <c r="R145" s="194">
        <f t="shared" si="136"/>
        <v>91.503794378447225</v>
      </c>
      <c r="S145" s="195">
        <f t="shared" si="137"/>
        <v>8.4962056215527735</v>
      </c>
      <c r="T145" s="28">
        <f t="shared" si="214"/>
        <v>99502.26</v>
      </c>
      <c r="Y145" s="67"/>
    </row>
    <row r="146" spans="1:25" customFormat="1" ht="12.75" x14ac:dyDescent="0.2">
      <c r="A146" s="106" t="s">
        <v>334</v>
      </c>
      <c r="B146" s="107"/>
      <c r="C146" s="106" t="s">
        <v>335</v>
      </c>
      <c r="D146" s="107"/>
      <c r="E146" s="169" t="s">
        <v>41</v>
      </c>
      <c r="F146" s="176"/>
      <c r="G146" s="176"/>
      <c r="H146" s="176"/>
      <c r="I146" s="176"/>
      <c r="J146" s="108" t="s">
        <v>41</v>
      </c>
      <c r="K146" s="148"/>
      <c r="L146" s="156">
        <f>L147+L149+L151+L153</f>
        <v>1768888.52</v>
      </c>
      <c r="M146" s="156">
        <f t="shared" ref="M146:P146" si="222">M147+M149+M151+M153</f>
        <v>1654114.3100000003</v>
      </c>
      <c r="N146" s="156">
        <f t="shared" si="222"/>
        <v>113279.08</v>
      </c>
      <c r="O146" s="156">
        <f t="shared" si="222"/>
        <v>1767393.3699999999</v>
      </c>
      <c r="P146" s="156">
        <f t="shared" si="222"/>
        <v>1495.1500000000833</v>
      </c>
      <c r="Q146" s="196">
        <f t="shared" si="135"/>
        <v>6.4039694259534237</v>
      </c>
      <c r="R146" s="196">
        <f t="shared" si="136"/>
        <v>99.915475170815171</v>
      </c>
      <c r="S146" s="193">
        <f t="shared" si="137"/>
        <v>8.4524829184830896E-2</v>
      </c>
      <c r="T146" s="28">
        <f t="shared" si="214"/>
        <v>1767393.3699999999</v>
      </c>
      <c r="Y146" s="67"/>
    </row>
    <row r="147" spans="1:25" customFormat="1" ht="12.75" x14ac:dyDescent="0.2">
      <c r="A147" s="34" t="s">
        <v>336</v>
      </c>
      <c r="B147" s="35"/>
      <c r="C147" s="34" t="s">
        <v>337</v>
      </c>
      <c r="D147" s="35"/>
      <c r="E147" s="173" t="s">
        <v>41</v>
      </c>
      <c r="F147" s="182"/>
      <c r="G147" s="182"/>
      <c r="H147" s="182"/>
      <c r="I147" s="182"/>
      <c r="J147" s="113" t="s">
        <v>41</v>
      </c>
      <c r="K147" s="153"/>
      <c r="L147" s="165">
        <f>L148</f>
        <v>24304.959999999999</v>
      </c>
      <c r="M147" s="165">
        <f t="shared" ref="M147:P147" si="223">M148</f>
        <v>23447.87</v>
      </c>
      <c r="N147" s="165">
        <f t="shared" si="223"/>
        <v>0</v>
      </c>
      <c r="O147" s="165">
        <f t="shared" si="223"/>
        <v>23447.87</v>
      </c>
      <c r="P147" s="165">
        <f t="shared" si="223"/>
        <v>857.09000000000015</v>
      </c>
      <c r="Q147" s="205">
        <f t="shared" si="135"/>
        <v>0</v>
      </c>
      <c r="R147" s="205">
        <f t="shared" si="136"/>
        <v>96.473600450278468</v>
      </c>
      <c r="S147" s="206">
        <f t="shared" si="137"/>
        <v>3.5263995497215395</v>
      </c>
      <c r="T147" s="28">
        <f t="shared" si="214"/>
        <v>23447.87</v>
      </c>
      <c r="Y147" s="67"/>
    </row>
    <row r="148" spans="1:25" s="61" customFormat="1" ht="25.5" x14ac:dyDescent="0.2">
      <c r="A148" s="71" t="s">
        <v>338</v>
      </c>
      <c r="B148" s="72" t="s">
        <v>339</v>
      </c>
      <c r="C148" s="71" t="s">
        <v>475</v>
      </c>
      <c r="D148" s="72" t="s">
        <v>38</v>
      </c>
      <c r="E148" s="145">
        <v>60762.400000000001</v>
      </c>
      <c r="F148" s="145">
        <v>58619.671999999999</v>
      </c>
      <c r="G148" s="145"/>
      <c r="H148" s="145">
        <f t="shared" ref="H148" si="224">F148+G148</f>
        <v>58619.671999999999</v>
      </c>
      <c r="I148" s="145">
        <f>E148-H148</f>
        <v>2142.7280000000028</v>
      </c>
      <c r="J148" s="62">
        <v>0.33</v>
      </c>
      <c r="K148" s="150">
        <f>TRUNC(J148*1.2211,2)</f>
        <v>0.4</v>
      </c>
      <c r="L148" s="150">
        <f>TRUNC(E148*K148,2)</f>
        <v>24304.959999999999</v>
      </c>
      <c r="M148" s="158">
        <f t="shared" ref="M148" si="225">ROUND(F148*$K148,2)</f>
        <v>23447.87</v>
      </c>
      <c r="N148" s="158">
        <f t="shared" ref="N148" si="226">ROUND(G148*$K148,2)</f>
        <v>0</v>
      </c>
      <c r="O148" s="158">
        <f t="shared" ref="O148" si="227">ROUND(H148*$K148,2)</f>
        <v>23447.87</v>
      </c>
      <c r="P148" s="157">
        <f>L148-O148</f>
        <v>857.09000000000015</v>
      </c>
      <c r="Q148" s="197">
        <f t="shared" si="135"/>
        <v>0</v>
      </c>
      <c r="R148" s="197">
        <f t="shared" si="136"/>
        <v>96.473600450278468</v>
      </c>
      <c r="S148" s="198">
        <f t="shared" si="137"/>
        <v>3.5263995497215395</v>
      </c>
      <c r="T148" s="60">
        <f t="shared" si="214"/>
        <v>23447.87</v>
      </c>
      <c r="Y148" s="80"/>
    </row>
    <row r="149" spans="1:25" customFormat="1" ht="12.75" x14ac:dyDescent="0.2">
      <c r="A149" s="34" t="s">
        <v>340</v>
      </c>
      <c r="B149" s="35"/>
      <c r="C149" s="34" t="s">
        <v>341</v>
      </c>
      <c r="D149" s="35"/>
      <c r="E149" s="173" t="s">
        <v>41</v>
      </c>
      <c r="F149" s="182"/>
      <c r="G149" s="182"/>
      <c r="H149" s="182"/>
      <c r="I149" s="182"/>
      <c r="J149" s="113" t="s">
        <v>41</v>
      </c>
      <c r="K149" s="153"/>
      <c r="L149" s="165">
        <f>L150</f>
        <v>16372.97</v>
      </c>
      <c r="M149" s="165">
        <f t="shared" ref="M149:P149" si="228">M150</f>
        <v>13403.5</v>
      </c>
      <c r="N149" s="165">
        <f t="shared" si="228"/>
        <v>2352.61</v>
      </c>
      <c r="O149" s="165">
        <f t="shared" si="228"/>
        <v>15756.11</v>
      </c>
      <c r="P149" s="165">
        <f t="shared" si="228"/>
        <v>616.85999999999876</v>
      </c>
      <c r="Q149" s="205">
        <f t="shared" si="135"/>
        <v>14.368865270015155</v>
      </c>
      <c r="R149" s="205">
        <f t="shared" si="136"/>
        <v>96.232448969246278</v>
      </c>
      <c r="S149" s="206">
        <f t="shared" si="137"/>
        <v>3.767551030753729</v>
      </c>
      <c r="T149" s="28">
        <f t="shared" si="214"/>
        <v>15756.11</v>
      </c>
      <c r="Y149" s="67"/>
    </row>
    <row r="150" spans="1:25" customFormat="1" ht="12.75" x14ac:dyDescent="0.2">
      <c r="A150" s="71" t="s">
        <v>342</v>
      </c>
      <c r="B150" s="72" t="s">
        <v>343</v>
      </c>
      <c r="C150" s="71" t="s">
        <v>489</v>
      </c>
      <c r="D150" s="72" t="s">
        <v>38</v>
      </c>
      <c r="E150" s="144">
        <v>56458.52</v>
      </c>
      <c r="F150" s="144">
        <v>46218.96</v>
      </c>
      <c r="G150" s="144">
        <f>'PAVIMENTAÇÃO '!L12</f>
        <v>8112.4400000000005</v>
      </c>
      <c r="H150" s="144">
        <f t="shared" ref="H150" si="229">F150+G150</f>
        <v>54331.4</v>
      </c>
      <c r="I150" s="144">
        <f>E150-H150</f>
        <v>2127.1199999999953</v>
      </c>
      <c r="J150" s="75">
        <v>0.24</v>
      </c>
      <c r="K150" s="149">
        <f>TRUNC(J150*1.2211,2)</f>
        <v>0.28999999999999998</v>
      </c>
      <c r="L150" s="149">
        <f>TRUNC(E150*K150,2)</f>
        <v>16372.97</v>
      </c>
      <c r="M150" s="157">
        <f t="shared" ref="M150" si="230">ROUND(F150*$K150,2)</f>
        <v>13403.5</v>
      </c>
      <c r="N150" s="157">
        <f t="shared" ref="N150" si="231">ROUND(G150*$K150,2)</f>
        <v>2352.61</v>
      </c>
      <c r="O150" s="157">
        <f t="shared" ref="O150" si="232">ROUND(H150*$K150,2)</f>
        <v>15756.11</v>
      </c>
      <c r="P150" s="157">
        <f>L150-O150</f>
        <v>616.85999999999876</v>
      </c>
      <c r="Q150" s="194">
        <f t="shared" si="135"/>
        <v>14.368865270015155</v>
      </c>
      <c r="R150" s="194">
        <f t="shared" si="136"/>
        <v>96.232448969246278</v>
      </c>
      <c r="S150" s="195">
        <f t="shared" si="137"/>
        <v>3.767551030753729</v>
      </c>
      <c r="T150" s="28">
        <f t="shared" si="214"/>
        <v>15756.11</v>
      </c>
      <c r="Y150" s="67"/>
    </row>
    <row r="151" spans="1:25" customFormat="1" ht="12.75" x14ac:dyDescent="0.2">
      <c r="A151" s="34" t="s">
        <v>344</v>
      </c>
      <c r="B151" s="35"/>
      <c r="C151" s="34" t="s">
        <v>345</v>
      </c>
      <c r="D151" s="35"/>
      <c r="E151" s="173" t="s">
        <v>41</v>
      </c>
      <c r="F151" s="182"/>
      <c r="G151" s="182"/>
      <c r="H151" s="182"/>
      <c r="I151" s="182"/>
      <c r="J151" s="113" t="s">
        <v>41</v>
      </c>
      <c r="K151" s="153"/>
      <c r="L151" s="165">
        <f>L152</f>
        <v>1516673.45</v>
      </c>
      <c r="M151" s="165">
        <f t="shared" ref="M151:P151" si="233">M152</f>
        <v>1407688.37</v>
      </c>
      <c r="N151" s="165">
        <f t="shared" si="233"/>
        <v>108964.27</v>
      </c>
      <c r="O151" s="165">
        <f t="shared" si="233"/>
        <v>1516652.63</v>
      </c>
      <c r="P151" s="165">
        <f t="shared" si="233"/>
        <v>20.820000000065193</v>
      </c>
      <c r="Q151" s="205">
        <f t="shared" ref="Q151:Q207" si="234">N151/L151*100</f>
        <v>7.1844252300981477</v>
      </c>
      <c r="R151" s="205">
        <f t="shared" ref="R151:R207" si="235">O151/L151*100</f>
        <v>99.99862725888687</v>
      </c>
      <c r="S151" s="206">
        <f t="shared" ref="S151:S207" si="236">P151/L151*100</f>
        <v>1.37274111312921E-3</v>
      </c>
      <c r="T151" s="28">
        <f t="shared" si="214"/>
        <v>1516652.63</v>
      </c>
      <c r="Y151" s="67"/>
    </row>
    <row r="152" spans="1:25" customFormat="1" ht="25.5" x14ac:dyDescent="0.2">
      <c r="A152" s="71" t="s">
        <v>346</v>
      </c>
      <c r="B152" s="72" t="s">
        <v>347</v>
      </c>
      <c r="C152" s="71" t="s">
        <v>514</v>
      </c>
      <c r="D152" s="72" t="s">
        <v>71</v>
      </c>
      <c r="E152" s="144">
        <v>2822.9259999999999</v>
      </c>
      <c r="F152" s="144">
        <v>2620.0762499999996</v>
      </c>
      <c r="G152" s="144">
        <f>'PAVIMENTAÇÃO '!L17</f>
        <v>202.81100000000001</v>
      </c>
      <c r="H152" s="144">
        <f t="shared" ref="H152:H154" si="237">F152+G152</f>
        <v>2822.8872499999998</v>
      </c>
      <c r="I152" s="144">
        <f>E152-H152</f>
        <v>3.8750000000163709E-2</v>
      </c>
      <c r="J152" s="75">
        <v>439.99</v>
      </c>
      <c r="K152" s="149">
        <f>TRUNC(J152*1.2211,2)</f>
        <v>537.27</v>
      </c>
      <c r="L152" s="149">
        <f>TRUNC(E152*K152,2)</f>
        <v>1516673.45</v>
      </c>
      <c r="M152" s="157">
        <f t="shared" ref="M152" si="238">ROUND(F152*$K152,2)</f>
        <v>1407688.37</v>
      </c>
      <c r="N152" s="157">
        <f t="shared" ref="N152" si="239">ROUND(G152*$K152,2)</f>
        <v>108964.27</v>
      </c>
      <c r="O152" s="157">
        <f t="shared" ref="O152" si="240">ROUND(H152*$K152,2)</f>
        <v>1516652.63</v>
      </c>
      <c r="P152" s="157">
        <f>L152-O152</f>
        <v>20.820000000065193</v>
      </c>
      <c r="Q152" s="194">
        <f t="shared" si="234"/>
        <v>7.1844252300981477</v>
      </c>
      <c r="R152" s="194">
        <f t="shared" si="235"/>
        <v>99.99862725888687</v>
      </c>
      <c r="S152" s="195">
        <f t="shared" si="236"/>
        <v>1.37274111312921E-3</v>
      </c>
      <c r="T152" s="28">
        <f t="shared" si="214"/>
        <v>1516652.63</v>
      </c>
      <c r="Y152" s="67"/>
    </row>
    <row r="153" spans="1:25" customFormat="1" ht="12.75" x14ac:dyDescent="0.2">
      <c r="A153" s="34" t="s">
        <v>348</v>
      </c>
      <c r="B153" s="35"/>
      <c r="C153" s="34" t="s">
        <v>349</v>
      </c>
      <c r="D153" s="35"/>
      <c r="E153" s="173" t="s">
        <v>41</v>
      </c>
      <c r="F153" s="182"/>
      <c r="G153" s="182"/>
      <c r="H153" s="182"/>
      <c r="I153" s="182"/>
      <c r="J153" s="113" t="s">
        <v>41</v>
      </c>
      <c r="K153" s="153"/>
      <c r="L153" s="165">
        <f>SUM(L154:L155)</f>
        <v>211537.14</v>
      </c>
      <c r="M153" s="165">
        <f t="shared" ref="M153:P153" si="241">SUM(M154:M155)</f>
        <v>209574.56999999998</v>
      </c>
      <c r="N153" s="165">
        <f t="shared" si="241"/>
        <v>1962.2</v>
      </c>
      <c r="O153" s="165">
        <f t="shared" si="241"/>
        <v>211536.75999999998</v>
      </c>
      <c r="P153" s="165">
        <f t="shared" si="241"/>
        <v>0.38000000001920853</v>
      </c>
      <c r="Q153" s="205">
        <f t="shared" si="234"/>
        <v>0.92759124946096927</v>
      </c>
      <c r="R153" s="205">
        <f t="shared" si="235"/>
        <v>99.9998203625141</v>
      </c>
      <c r="S153" s="206">
        <f t="shared" si="236"/>
        <v>1.7963748588981042E-4</v>
      </c>
      <c r="T153" s="28">
        <f t="shared" si="214"/>
        <v>211536.76</v>
      </c>
      <c r="Y153" s="67"/>
    </row>
    <row r="154" spans="1:25" customFormat="1" ht="25.5" x14ac:dyDescent="0.2">
      <c r="A154" s="71" t="s">
        <v>350</v>
      </c>
      <c r="B154" s="72" t="s">
        <v>351</v>
      </c>
      <c r="C154" s="71" t="s">
        <v>352</v>
      </c>
      <c r="D154" s="72" t="s">
        <v>71</v>
      </c>
      <c r="E154" s="144">
        <v>3528.66</v>
      </c>
      <c r="F154" s="144">
        <v>3275.0953124999996</v>
      </c>
      <c r="G154" s="144">
        <f>'PAVIMENTAÇÃO '!L18</f>
        <v>253.51375000000002</v>
      </c>
      <c r="H154" s="144">
        <f t="shared" si="237"/>
        <v>3528.6090624999997</v>
      </c>
      <c r="I154" s="144">
        <f>E154-H154</f>
        <v>5.0937500000145519E-2</v>
      </c>
      <c r="J154" s="75">
        <v>6.34</v>
      </c>
      <c r="K154" s="149">
        <f t="shared" ref="K154:K155" si="242">TRUNC(J154*1.2211,2)</f>
        <v>7.74</v>
      </c>
      <c r="L154" s="149">
        <f t="shared" ref="L154:L155" si="243">TRUNC(E154*K154,2)</f>
        <v>27311.82</v>
      </c>
      <c r="M154" s="157">
        <f t="shared" ref="M154" si="244">ROUND(F154*$K154,2)</f>
        <v>25349.24</v>
      </c>
      <c r="N154" s="157">
        <f t="shared" ref="N154" si="245">ROUND(G154*$K154,2)</f>
        <v>1962.2</v>
      </c>
      <c r="O154" s="157">
        <f t="shared" ref="O154" si="246">ROUND(H154*$K154,2)</f>
        <v>27311.43</v>
      </c>
      <c r="P154" s="157">
        <f t="shared" ref="P154:P158" si="247">L154-O154</f>
        <v>0.38999999999941792</v>
      </c>
      <c r="Q154" s="194">
        <f t="shared" si="234"/>
        <v>7.1844351639692992</v>
      </c>
      <c r="R154" s="194">
        <f t="shared" si="235"/>
        <v>99.998572046828087</v>
      </c>
      <c r="S154" s="195">
        <f t="shared" si="236"/>
        <v>1.427953171921234E-3</v>
      </c>
      <c r="T154" s="28">
        <f t="shared" si="214"/>
        <v>27311.43</v>
      </c>
      <c r="Y154" s="67"/>
    </row>
    <row r="155" spans="1:25" customFormat="1" ht="25.5" x14ac:dyDescent="0.2">
      <c r="A155" s="71" t="s">
        <v>353</v>
      </c>
      <c r="B155" s="30">
        <v>914612</v>
      </c>
      <c r="C155" s="71" t="s">
        <v>354</v>
      </c>
      <c r="D155" s="72" t="s">
        <v>79</v>
      </c>
      <c r="E155" s="144">
        <v>116598.31</v>
      </c>
      <c r="F155" s="144">
        <v>116598.311535</v>
      </c>
      <c r="G155" s="144"/>
      <c r="H155" s="144">
        <f t="shared" ref="H155" si="248">F155+G155</f>
        <v>116598.311535</v>
      </c>
      <c r="I155" s="144"/>
      <c r="J155" s="75">
        <v>1.3</v>
      </c>
      <c r="K155" s="149">
        <f t="shared" si="242"/>
        <v>1.58</v>
      </c>
      <c r="L155" s="149">
        <f t="shared" si="243"/>
        <v>184225.32</v>
      </c>
      <c r="M155" s="157">
        <f t="shared" ref="M155" si="249">ROUND(F155*$K155,2)</f>
        <v>184225.33</v>
      </c>
      <c r="N155" s="157">
        <f t="shared" ref="N155" si="250">ROUND(G155*$K155,2)</f>
        <v>0</v>
      </c>
      <c r="O155" s="157">
        <f t="shared" ref="O155" si="251">ROUND(H155*$K155,2)</f>
        <v>184225.33</v>
      </c>
      <c r="P155" s="157">
        <f t="shared" si="247"/>
        <v>-9.9999999802093953E-3</v>
      </c>
      <c r="Q155" s="194">
        <f t="shared" si="234"/>
        <v>0</v>
      </c>
      <c r="R155" s="194">
        <f t="shared" si="235"/>
        <v>100.00000542813549</v>
      </c>
      <c r="S155" s="195">
        <f t="shared" si="236"/>
        <v>-5.4281354920210727E-6</v>
      </c>
      <c r="T155" s="28">
        <f t="shared" si="214"/>
        <v>184225.33</v>
      </c>
      <c r="Y155" s="67"/>
    </row>
    <row r="156" spans="1:25" customFormat="1" ht="12.75" x14ac:dyDescent="0.2">
      <c r="A156" s="106" t="s">
        <v>355</v>
      </c>
      <c r="B156" s="107"/>
      <c r="C156" s="111" t="s">
        <v>486</v>
      </c>
      <c r="D156" s="107"/>
      <c r="E156" s="169" t="s">
        <v>41</v>
      </c>
      <c r="F156" s="176"/>
      <c r="G156" s="176"/>
      <c r="H156" s="176"/>
      <c r="I156" s="176"/>
      <c r="J156" s="108" t="s">
        <v>41</v>
      </c>
      <c r="K156" s="148"/>
      <c r="L156" s="159">
        <f>SUM(L157:L158)</f>
        <v>399085.83</v>
      </c>
      <c r="M156" s="156">
        <f t="shared" ref="M156:P156" si="252">SUM(M157:M158)</f>
        <v>399085.54</v>
      </c>
      <c r="N156" s="156">
        <f t="shared" si="252"/>
        <v>0</v>
      </c>
      <c r="O156" s="156">
        <f t="shared" si="252"/>
        <v>399085.54</v>
      </c>
      <c r="P156" s="156">
        <f t="shared" si="252"/>
        <v>0.2900000000372529</v>
      </c>
      <c r="Q156" s="196">
        <f t="shared" si="234"/>
        <v>0</v>
      </c>
      <c r="R156" s="196">
        <f t="shared" si="235"/>
        <v>99.999927333927133</v>
      </c>
      <c r="S156" s="193">
        <f t="shared" si="236"/>
        <v>7.2666072868899634E-5</v>
      </c>
      <c r="T156" s="28">
        <f t="shared" si="214"/>
        <v>399085.54</v>
      </c>
      <c r="Y156" s="67"/>
    </row>
    <row r="157" spans="1:25" customFormat="1" ht="25.5" x14ac:dyDescent="0.2">
      <c r="A157" s="71" t="s">
        <v>356</v>
      </c>
      <c r="B157" s="30" t="s">
        <v>357</v>
      </c>
      <c r="C157" s="71" t="s">
        <v>358</v>
      </c>
      <c r="D157" s="72" t="s">
        <v>38</v>
      </c>
      <c r="E157" s="144">
        <v>3567</v>
      </c>
      <c r="F157" s="144">
        <v>3566.9969999999998</v>
      </c>
      <c r="G157" s="144"/>
      <c r="H157" s="144">
        <f t="shared" ref="H157" si="253">F157+G157</f>
        <v>3566.9969999999998</v>
      </c>
      <c r="I157" s="144">
        <f>E157-H157</f>
        <v>3.0000000001564331E-3</v>
      </c>
      <c r="J157" s="75">
        <v>78.430000000000007</v>
      </c>
      <c r="K157" s="149">
        <f t="shared" ref="K157:K158" si="254">TRUNC(J157*1.2211,2)</f>
        <v>95.77</v>
      </c>
      <c r="L157" s="149">
        <f t="shared" ref="L157:L158" si="255">TRUNC(E157*K157,2)</f>
        <v>341611.59</v>
      </c>
      <c r="M157" s="157">
        <f t="shared" ref="M157" si="256">ROUND(F157*$K157,2)</f>
        <v>341611.3</v>
      </c>
      <c r="N157" s="157">
        <f t="shared" ref="N157" si="257">ROUND(G157*$K157,2)</f>
        <v>0</v>
      </c>
      <c r="O157" s="157">
        <f t="shared" ref="O157" si="258">ROUND(H157*$K157,2)</f>
        <v>341611.3</v>
      </c>
      <c r="P157" s="157">
        <f t="shared" si="247"/>
        <v>0.2900000000372529</v>
      </c>
      <c r="Q157" s="194">
        <f t="shared" si="234"/>
        <v>0</v>
      </c>
      <c r="R157" s="194">
        <f t="shared" si="235"/>
        <v>99.999915108266663</v>
      </c>
      <c r="S157" s="195">
        <f t="shared" si="236"/>
        <v>8.4891733338805301E-5</v>
      </c>
      <c r="T157" s="28">
        <f t="shared" si="214"/>
        <v>341611.3</v>
      </c>
      <c r="Y157" s="67"/>
    </row>
    <row r="158" spans="1:25" customFormat="1" ht="12.75" x14ac:dyDescent="0.2">
      <c r="A158" s="71" t="s">
        <v>359</v>
      </c>
      <c r="B158" s="72" t="s">
        <v>360</v>
      </c>
      <c r="C158" s="71" t="s">
        <v>361</v>
      </c>
      <c r="D158" s="72" t="s">
        <v>52</v>
      </c>
      <c r="E158" s="144">
        <v>1311</v>
      </c>
      <c r="F158" s="144">
        <v>1310.9999999999995</v>
      </c>
      <c r="G158" s="144"/>
      <c r="H158" s="144">
        <f t="shared" ref="H158" si="259">F158+G158</f>
        <v>1310.9999999999995</v>
      </c>
      <c r="I158" s="144">
        <f>E158-H158</f>
        <v>0</v>
      </c>
      <c r="J158" s="75">
        <v>35.909999999999997</v>
      </c>
      <c r="K158" s="149">
        <f t="shared" si="254"/>
        <v>43.84</v>
      </c>
      <c r="L158" s="149">
        <f t="shared" si="255"/>
        <v>57474.239999999998</v>
      </c>
      <c r="M158" s="157">
        <f t="shared" ref="M158" si="260">ROUND(F158*$K158,2)</f>
        <v>57474.239999999998</v>
      </c>
      <c r="N158" s="157">
        <f t="shared" ref="N158" si="261">ROUND(G158*$K158,2)</f>
        <v>0</v>
      </c>
      <c r="O158" s="157">
        <f t="shared" ref="O158" si="262">ROUND(H158*$K158,2)</f>
        <v>57474.239999999998</v>
      </c>
      <c r="P158" s="157">
        <f t="shared" si="247"/>
        <v>0</v>
      </c>
      <c r="Q158" s="194">
        <f t="shared" si="234"/>
        <v>0</v>
      </c>
      <c r="R158" s="194">
        <f t="shared" si="235"/>
        <v>100</v>
      </c>
      <c r="S158" s="195">
        <f t="shared" si="236"/>
        <v>0</v>
      </c>
      <c r="T158" s="28">
        <f t="shared" si="214"/>
        <v>57474.239999999998</v>
      </c>
      <c r="Y158" s="67"/>
    </row>
    <row r="159" spans="1:25" customFormat="1" ht="12.75" x14ac:dyDescent="0.2">
      <c r="A159" s="93" t="s">
        <v>362</v>
      </c>
      <c r="B159" s="94"/>
      <c r="C159" s="93" t="s">
        <v>363</v>
      </c>
      <c r="D159" s="94"/>
      <c r="E159" s="172" t="s">
        <v>41</v>
      </c>
      <c r="F159" s="181"/>
      <c r="G159" s="181"/>
      <c r="H159" s="181"/>
      <c r="I159" s="181"/>
      <c r="J159" s="95" t="s">
        <v>41</v>
      </c>
      <c r="K159" s="147"/>
      <c r="L159" s="155">
        <f>L160+L168</f>
        <v>541342.48</v>
      </c>
      <c r="M159" s="155">
        <f t="shared" ref="M159:P159" si="263">M160+M168</f>
        <v>0</v>
      </c>
      <c r="N159" s="155">
        <f t="shared" si="263"/>
        <v>0</v>
      </c>
      <c r="O159" s="155">
        <f t="shared" si="263"/>
        <v>0</v>
      </c>
      <c r="P159" s="155">
        <f t="shared" si="263"/>
        <v>541342.48</v>
      </c>
      <c r="Q159" s="204">
        <f t="shared" si="234"/>
        <v>0</v>
      </c>
      <c r="R159" s="204">
        <f t="shared" si="235"/>
        <v>0</v>
      </c>
      <c r="S159" s="191">
        <f t="shared" si="236"/>
        <v>100</v>
      </c>
      <c r="T159" s="28">
        <f t="shared" si="214"/>
        <v>0</v>
      </c>
      <c r="Y159" s="67"/>
    </row>
    <row r="160" spans="1:25" customFormat="1" ht="12.75" x14ac:dyDescent="0.2">
      <c r="A160" s="106" t="s">
        <v>364</v>
      </c>
      <c r="B160" s="107"/>
      <c r="C160" s="106" t="s">
        <v>365</v>
      </c>
      <c r="D160" s="107"/>
      <c r="E160" s="169" t="s">
        <v>41</v>
      </c>
      <c r="F160" s="176"/>
      <c r="G160" s="176"/>
      <c r="H160" s="176"/>
      <c r="I160" s="176"/>
      <c r="J160" s="108" t="s">
        <v>41</v>
      </c>
      <c r="K160" s="148"/>
      <c r="L160" s="156">
        <f>SUM(L161:L167)</f>
        <v>200598.35</v>
      </c>
      <c r="M160" s="156">
        <f t="shared" ref="M160:P160" si="264">SUM(M161:M167)</f>
        <v>0</v>
      </c>
      <c r="N160" s="156">
        <f t="shared" si="264"/>
        <v>0</v>
      </c>
      <c r="O160" s="156">
        <f t="shared" si="264"/>
        <v>0</v>
      </c>
      <c r="P160" s="156">
        <f t="shared" si="264"/>
        <v>200598.35</v>
      </c>
      <c r="Q160" s="196">
        <f t="shared" si="234"/>
        <v>0</v>
      </c>
      <c r="R160" s="196">
        <f t="shared" si="235"/>
        <v>0</v>
      </c>
      <c r="S160" s="193">
        <f t="shared" si="236"/>
        <v>100</v>
      </c>
      <c r="T160" s="28">
        <f t="shared" si="214"/>
        <v>0</v>
      </c>
      <c r="Y160" s="67"/>
    </row>
    <row r="161" spans="1:25" customFormat="1" ht="25.5" x14ac:dyDescent="0.2">
      <c r="A161" s="71" t="s">
        <v>366</v>
      </c>
      <c r="B161" s="30">
        <v>5213446</v>
      </c>
      <c r="C161" s="71" t="s">
        <v>367</v>
      </c>
      <c r="D161" s="72" t="s">
        <v>202</v>
      </c>
      <c r="E161" s="144">
        <v>3</v>
      </c>
      <c r="F161" s="177">
        <v>0</v>
      </c>
      <c r="G161" s="177"/>
      <c r="H161" s="177">
        <f t="shared" ref="H161" si="265">F161+G161</f>
        <v>0</v>
      </c>
      <c r="I161" s="144">
        <f t="shared" ref="I161" si="266">ROUND(E161-H161,2)</f>
        <v>3</v>
      </c>
      <c r="J161" s="75">
        <v>517.9</v>
      </c>
      <c r="K161" s="149">
        <f t="shared" ref="K161:K167" si="267">TRUNC(J161*1.2211,2)</f>
        <v>632.4</v>
      </c>
      <c r="L161" s="149">
        <f t="shared" ref="L161:L167" si="268">TRUNC(E161*K161,2)</f>
        <v>1897.2</v>
      </c>
      <c r="M161" s="157">
        <f t="shared" ref="M161" si="269">ROUND(F161*$K161,2)</f>
        <v>0</v>
      </c>
      <c r="N161" s="157">
        <f t="shared" ref="N161" si="270">ROUND(G161*$K161,2)</f>
        <v>0</v>
      </c>
      <c r="O161" s="157">
        <f t="shared" ref="O161" si="271">ROUND(H161*$K161,2)</f>
        <v>0</v>
      </c>
      <c r="P161" s="157">
        <f t="shared" ref="P161" si="272">ROUND(I161*$K161,2)</f>
        <v>1897.2</v>
      </c>
      <c r="Q161" s="194">
        <f t="shared" si="234"/>
        <v>0</v>
      </c>
      <c r="R161" s="194">
        <f t="shared" si="235"/>
        <v>0</v>
      </c>
      <c r="S161" s="195">
        <f t="shared" si="236"/>
        <v>100</v>
      </c>
      <c r="T161" s="28">
        <f t="shared" si="214"/>
        <v>0</v>
      </c>
      <c r="Y161" s="67"/>
    </row>
    <row r="162" spans="1:25" customFormat="1" ht="25.5" x14ac:dyDescent="0.2">
      <c r="A162" s="71" t="s">
        <v>368</v>
      </c>
      <c r="B162" s="30">
        <v>5213450</v>
      </c>
      <c r="C162" s="71" t="s">
        <v>369</v>
      </c>
      <c r="D162" s="72" t="s">
        <v>202</v>
      </c>
      <c r="E162" s="144">
        <v>5</v>
      </c>
      <c r="F162" s="177">
        <v>0</v>
      </c>
      <c r="G162" s="177"/>
      <c r="H162" s="177">
        <f t="shared" ref="H162:H167" si="273">F162+G162</f>
        <v>0</v>
      </c>
      <c r="I162" s="144">
        <f t="shared" ref="I162:I167" si="274">ROUND(E162-H162,2)</f>
        <v>5</v>
      </c>
      <c r="J162" s="75">
        <v>330.35</v>
      </c>
      <c r="K162" s="149">
        <f t="shared" si="267"/>
        <v>403.39</v>
      </c>
      <c r="L162" s="149">
        <f t="shared" si="268"/>
        <v>2016.95</v>
      </c>
      <c r="M162" s="157">
        <f t="shared" ref="M162:M167" si="275">ROUND(F162*$K162,2)</f>
        <v>0</v>
      </c>
      <c r="N162" s="157">
        <f t="shared" ref="N162:N167" si="276">ROUND(G162*$K162,2)</f>
        <v>0</v>
      </c>
      <c r="O162" s="157">
        <f t="shared" ref="O162:O167" si="277">ROUND(H162*$K162,2)</f>
        <v>0</v>
      </c>
      <c r="P162" s="157">
        <f t="shared" ref="P162:P167" si="278">ROUND(I162*$K162,2)</f>
        <v>2016.95</v>
      </c>
      <c r="Q162" s="194">
        <f t="shared" si="234"/>
        <v>0</v>
      </c>
      <c r="R162" s="194">
        <f t="shared" si="235"/>
        <v>0</v>
      </c>
      <c r="S162" s="195">
        <f t="shared" si="236"/>
        <v>100</v>
      </c>
      <c r="T162" s="28">
        <f t="shared" si="214"/>
        <v>0</v>
      </c>
      <c r="Y162" s="67"/>
    </row>
    <row r="163" spans="1:25" customFormat="1" ht="25.5" x14ac:dyDescent="0.2">
      <c r="A163" s="71" t="s">
        <v>370</v>
      </c>
      <c r="B163" s="30">
        <v>5213442</v>
      </c>
      <c r="C163" s="71" t="s">
        <v>371</v>
      </c>
      <c r="D163" s="72" t="s">
        <v>202</v>
      </c>
      <c r="E163" s="144">
        <v>59</v>
      </c>
      <c r="F163" s="177">
        <v>0</v>
      </c>
      <c r="G163" s="177"/>
      <c r="H163" s="177">
        <f t="shared" si="273"/>
        <v>0</v>
      </c>
      <c r="I163" s="144">
        <f t="shared" si="274"/>
        <v>59</v>
      </c>
      <c r="J163" s="75">
        <v>517.91999999999996</v>
      </c>
      <c r="K163" s="149">
        <f t="shared" si="267"/>
        <v>632.42999999999995</v>
      </c>
      <c r="L163" s="149">
        <f t="shared" si="268"/>
        <v>37313.370000000003</v>
      </c>
      <c r="M163" s="157">
        <f t="shared" si="275"/>
        <v>0</v>
      </c>
      <c r="N163" s="157">
        <f t="shared" si="276"/>
        <v>0</v>
      </c>
      <c r="O163" s="157">
        <f t="shared" si="277"/>
        <v>0</v>
      </c>
      <c r="P163" s="157">
        <f t="shared" si="278"/>
        <v>37313.370000000003</v>
      </c>
      <c r="Q163" s="194">
        <f t="shared" si="234"/>
        <v>0</v>
      </c>
      <c r="R163" s="194">
        <f t="shared" si="235"/>
        <v>0</v>
      </c>
      <c r="S163" s="195">
        <f t="shared" si="236"/>
        <v>100</v>
      </c>
      <c r="T163" s="28">
        <f t="shared" si="214"/>
        <v>0</v>
      </c>
      <c r="Y163" s="67"/>
    </row>
    <row r="164" spans="1:25" customFormat="1" ht="25.5" x14ac:dyDescent="0.2">
      <c r="A164" s="71" t="s">
        <v>372</v>
      </c>
      <c r="B164" s="30">
        <v>5213466</v>
      </c>
      <c r="C164" s="71" t="s">
        <v>373</v>
      </c>
      <c r="D164" s="72" t="s">
        <v>202</v>
      </c>
      <c r="E164" s="144">
        <v>40</v>
      </c>
      <c r="F164" s="177">
        <v>0</v>
      </c>
      <c r="G164" s="177"/>
      <c r="H164" s="177">
        <f t="shared" si="273"/>
        <v>0</v>
      </c>
      <c r="I164" s="144">
        <f t="shared" si="274"/>
        <v>40</v>
      </c>
      <c r="J164" s="75">
        <v>517.91999999999996</v>
      </c>
      <c r="K164" s="149">
        <f t="shared" si="267"/>
        <v>632.42999999999995</v>
      </c>
      <c r="L164" s="149">
        <f t="shared" si="268"/>
        <v>25297.200000000001</v>
      </c>
      <c r="M164" s="157">
        <f t="shared" si="275"/>
        <v>0</v>
      </c>
      <c r="N164" s="157">
        <f t="shared" si="276"/>
        <v>0</v>
      </c>
      <c r="O164" s="157">
        <f t="shared" si="277"/>
        <v>0</v>
      </c>
      <c r="P164" s="157">
        <f t="shared" si="278"/>
        <v>25297.200000000001</v>
      </c>
      <c r="Q164" s="194">
        <f t="shared" si="234"/>
        <v>0</v>
      </c>
      <c r="R164" s="194">
        <f t="shared" si="235"/>
        <v>0</v>
      </c>
      <c r="S164" s="195">
        <f t="shared" si="236"/>
        <v>100</v>
      </c>
      <c r="T164" s="28">
        <f t="shared" si="214"/>
        <v>0</v>
      </c>
      <c r="Y164" s="67"/>
    </row>
    <row r="165" spans="1:25" customFormat="1" ht="25.5" x14ac:dyDescent="0.2">
      <c r="A165" s="71" t="s">
        <v>374</v>
      </c>
      <c r="B165" s="30">
        <v>5213498</v>
      </c>
      <c r="C165" s="71" t="s">
        <v>375</v>
      </c>
      <c r="D165" s="72" t="s">
        <v>202</v>
      </c>
      <c r="E165" s="144">
        <v>19</v>
      </c>
      <c r="F165" s="177">
        <v>0</v>
      </c>
      <c r="G165" s="177"/>
      <c r="H165" s="177">
        <f t="shared" si="273"/>
        <v>0</v>
      </c>
      <c r="I165" s="144">
        <f t="shared" si="274"/>
        <v>19</v>
      </c>
      <c r="J165" s="75">
        <v>1026.4000000000001</v>
      </c>
      <c r="K165" s="149">
        <f t="shared" si="267"/>
        <v>1253.33</v>
      </c>
      <c r="L165" s="149">
        <f t="shared" si="268"/>
        <v>23813.27</v>
      </c>
      <c r="M165" s="157">
        <f t="shared" si="275"/>
        <v>0</v>
      </c>
      <c r="N165" s="157">
        <f t="shared" si="276"/>
        <v>0</v>
      </c>
      <c r="O165" s="157">
        <f t="shared" si="277"/>
        <v>0</v>
      </c>
      <c r="P165" s="157">
        <f t="shared" si="278"/>
        <v>23813.27</v>
      </c>
      <c r="Q165" s="194">
        <f t="shared" si="234"/>
        <v>0</v>
      </c>
      <c r="R165" s="194">
        <f t="shared" si="235"/>
        <v>0</v>
      </c>
      <c r="S165" s="195">
        <f t="shared" si="236"/>
        <v>100</v>
      </c>
      <c r="T165" s="28">
        <f t="shared" si="214"/>
        <v>0</v>
      </c>
      <c r="Y165" s="67"/>
    </row>
    <row r="166" spans="1:25" customFormat="1" ht="12.75" x14ac:dyDescent="0.2">
      <c r="A166" s="71" t="s">
        <v>376</v>
      </c>
      <c r="B166" s="30">
        <v>5213571</v>
      </c>
      <c r="C166" s="71" t="s">
        <v>377</v>
      </c>
      <c r="D166" s="72" t="s">
        <v>38</v>
      </c>
      <c r="E166" s="144">
        <v>130.30000000000001</v>
      </c>
      <c r="F166" s="177">
        <v>0</v>
      </c>
      <c r="G166" s="177"/>
      <c r="H166" s="177">
        <f t="shared" si="273"/>
        <v>0</v>
      </c>
      <c r="I166" s="144">
        <f t="shared" si="274"/>
        <v>130.30000000000001</v>
      </c>
      <c r="J166" s="75">
        <v>525.45000000000005</v>
      </c>
      <c r="K166" s="149">
        <f t="shared" si="267"/>
        <v>641.62</v>
      </c>
      <c r="L166" s="149">
        <f t="shared" si="268"/>
        <v>83603.08</v>
      </c>
      <c r="M166" s="157">
        <f t="shared" si="275"/>
        <v>0</v>
      </c>
      <c r="N166" s="157">
        <f t="shared" si="276"/>
        <v>0</v>
      </c>
      <c r="O166" s="157">
        <f t="shared" si="277"/>
        <v>0</v>
      </c>
      <c r="P166" s="157">
        <f>L166-O166</f>
        <v>83603.08</v>
      </c>
      <c r="Q166" s="194">
        <f t="shared" si="234"/>
        <v>0</v>
      </c>
      <c r="R166" s="194">
        <f t="shared" si="235"/>
        <v>0</v>
      </c>
      <c r="S166" s="195">
        <f t="shared" si="236"/>
        <v>100</v>
      </c>
      <c r="T166" s="28">
        <f t="shared" si="214"/>
        <v>0</v>
      </c>
      <c r="Y166" s="67"/>
    </row>
    <row r="167" spans="1:25" customFormat="1" ht="25.5" x14ac:dyDescent="0.2">
      <c r="A167" s="71" t="s">
        <v>378</v>
      </c>
      <c r="B167" s="30">
        <v>5216111</v>
      </c>
      <c r="C167" s="71" t="s">
        <v>379</v>
      </c>
      <c r="D167" s="72" t="s">
        <v>202</v>
      </c>
      <c r="E167" s="144">
        <v>178</v>
      </c>
      <c r="F167" s="177">
        <v>0</v>
      </c>
      <c r="G167" s="177"/>
      <c r="H167" s="177">
        <f t="shared" si="273"/>
        <v>0</v>
      </c>
      <c r="I167" s="144">
        <f t="shared" si="274"/>
        <v>178</v>
      </c>
      <c r="J167" s="75">
        <v>122.65</v>
      </c>
      <c r="K167" s="149">
        <f t="shared" si="267"/>
        <v>149.76</v>
      </c>
      <c r="L167" s="149">
        <f t="shared" si="268"/>
        <v>26657.279999999999</v>
      </c>
      <c r="M167" s="157">
        <f t="shared" si="275"/>
        <v>0</v>
      </c>
      <c r="N167" s="157">
        <f t="shared" si="276"/>
        <v>0</v>
      </c>
      <c r="O167" s="157">
        <f t="shared" si="277"/>
        <v>0</v>
      </c>
      <c r="P167" s="157">
        <f t="shared" si="278"/>
        <v>26657.279999999999</v>
      </c>
      <c r="Q167" s="194">
        <f t="shared" si="234"/>
        <v>0</v>
      </c>
      <c r="R167" s="194">
        <f t="shared" si="235"/>
        <v>0</v>
      </c>
      <c r="S167" s="195">
        <f t="shared" si="236"/>
        <v>100</v>
      </c>
      <c r="T167" s="28">
        <f t="shared" si="214"/>
        <v>0</v>
      </c>
      <c r="Y167" s="67"/>
    </row>
    <row r="168" spans="1:25" customFormat="1" ht="12.75" x14ac:dyDescent="0.2">
      <c r="A168" s="106" t="s">
        <v>380</v>
      </c>
      <c r="B168" s="107"/>
      <c r="C168" s="106" t="s">
        <v>381</v>
      </c>
      <c r="D168" s="107"/>
      <c r="E168" s="169" t="s">
        <v>41</v>
      </c>
      <c r="F168" s="176"/>
      <c r="G168" s="176"/>
      <c r="H168" s="176"/>
      <c r="I168" s="176"/>
      <c r="J168" s="108" t="s">
        <v>41</v>
      </c>
      <c r="K168" s="148"/>
      <c r="L168" s="159">
        <f>SUM(L169:L173)</f>
        <v>340744.13</v>
      </c>
      <c r="M168" s="156">
        <f t="shared" ref="M168:P168" si="279">SUM(M169:M173)</f>
        <v>0</v>
      </c>
      <c r="N168" s="156">
        <f t="shared" si="279"/>
        <v>0</v>
      </c>
      <c r="O168" s="156">
        <f t="shared" si="279"/>
        <v>0</v>
      </c>
      <c r="P168" s="156">
        <f t="shared" si="279"/>
        <v>340744.13</v>
      </c>
      <c r="Q168" s="196">
        <f t="shared" si="234"/>
        <v>0</v>
      </c>
      <c r="R168" s="196">
        <f t="shared" si="235"/>
        <v>0</v>
      </c>
      <c r="S168" s="193">
        <f t="shared" si="236"/>
        <v>100</v>
      </c>
      <c r="T168" s="28">
        <f t="shared" si="214"/>
        <v>0</v>
      </c>
      <c r="Y168" s="67"/>
    </row>
    <row r="169" spans="1:25" customFormat="1" ht="25.5" x14ac:dyDescent="0.2">
      <c r="A169" s="71" t="s">
        <v>382</v>
      </c>
      <c r="B169" s="30">
        <v>5213413</v>
      </c>
      <c r="C169" s="71" t="s">
        <v>383</v>
      </c>
      <c r="D169" s="72" t="s">
        <v>38</v>
      </c>
      <c r="E169" s="144">
        <v>2455</v>
      </c>
      <c r="F169" s="177">
        <v>0</v>
      </c>
      <c r="G169" s="177"/>
      <c r="H169" s="177">
        <f t="shared" ref="H169" si="280">F169+G169</f>
        <v>0</v>
      </c>
      <c r="I169" s="144">
        <f t="shared" ref="I169" si="281">ROUND(E169-H169,2)</f>
        <v>2455</v>
      </c>
      <c r="J169" s="75">
        <v>61.63</v>
      </c>
      <c r="K169" s="149">
        <f t="shared" ref="K169:K173" si="282">TRUNC(J169*1.2211,2)</f>
        <v>75.25</v>
      </c>
      <c r="L169" s="149">
        <f t="shared" ref="L169:L173" si="283">TRUNC(E169*K169,2)</f>
        <v>184738.75</v>
      </c>
      <c r="M169" s="157">
        <f t="shared" ref="M169" si="284">ROUND(F169*$K169,2)</f>
        <v>0</v>
      </c>
      <c r="N169" s="157">
        <f t="shared" ref="N169" si="285">ROUND(G169*$K169,2)</f>
        <v>0</v>
      </c>
      <c r="O169" s="157">
        <f t="shared" ref="O169" si="286">ROUND(H169*$K169,2)</f>
        <v>0</v>
      </c>
      <c r="P169" s="157">
        <f t="shared" ref="P169" si="287">ROUND(I169*$K169,2)</f>
        <v>184738.75</v>
      </c>
      <c r="Q169" s="194">
        <f t="shared" si="234"/>
        <v>0</v>
      </c>
      <c r="R169" s="194">
        <f t="shared" si="235"/>
        <v>0</v>
      </c>
      <c r="S169" s="195">
        <f t="shared" si="236"/>
        <v>100</v>
      </c>
      <c r="T169" s="28">
        <f t="shared" si="214"/>
        <v>0</v>
      </c>
      <c r="Y169" s="67"/>
    </row>
    <row r="170" spans="1:25" customFormat="1" ht="25.5" x14ac:dyDescent="0.2">
      <c r="A170" s="71" t="s">
        <v>384</v>
      </c>
      <c r="B170" s="30">
        <v>5213405</v>
      </c>
      <c r="C170" s="71" t="s">
        <v>385</v>
      </c>
      <c r="D170" s="72" t="s">
        <v>38</v>
      </c>
      <c r="E170" s="144">
        <v>91.68</v>
      </c>
      <c r="F170" s="177">
        <v>0</v>
      </c>
      <c r="G170" s="177"/>
      <c r="H170" s="177">
        <f t="shared" ref="H170:H173" si="288">F170+G170</f>
        <v>0</v>
      </c>
      <c r="I170" s="144">
        <f t="shared" ref="I170:I173" si="289">ROUND(E170-H170,2)</f>
        <v>91.68</v>
      </c>
      <c r="J170" s="75">
        <v>51.02</v>
      </c>
      <c r="K170" s="149">
        <f t="shared" si="282"/>
        <v>62.3</v>
      </c>
      <c r="L170" s="149">
        <f t="shared" si="283"/>
        <v>5711.66</v>
      </c>
      <c r="M170" s="157">
        <f t="shared" ref="M170:M173" si="290">ROUND(F170*$K170,2)</f>
        <v>0</v>
      </c>
      <c r="N170" s="157">
        <f t="shared" ref="N170:N173" si="291">ROUND(G170*$K170,2)</f>
        <v>0</v>
      </c>
      <c r="O170" s="157">
        <f t="shared" ref="O170:O173" si="292">ROUND(H170*$K170,2)</f>
        <v>0</v>
      </c>
      <c r="P170" s="157">
        <f t="shared" ref="P170:P173" si="293">ROUND(I170*$K170,2)</f>
        <v>5711.66</v>
      </c>
      <c r="Q170" s="194">
        <f t="shared" si="234"/>
        <v>0</v>
      </c>
      <c r="R170" s="194">
        <f t="shared" si="235"/>
        <v>0</v>
      </c>
      <c r="S170" s="195">
        <f t="shared" si="236"/>
        <v>100</v>
      </c>
      <c r="T170" s="28">
        <f t="shared" si="214"/>
        <v>0</v>
      </c>
      <c r="Y170" s="67"/>
    </row>
    <row r="171" spans="1:25" customFormat="1" ht="25.5" x14ac:dyDescent="0.2">
      <c r="A171" s="71" t="s">
        <v>386</v>
      </c>
      <c r="B171" s="72" t="s">
        <v>387</v>
      </c>
      <c r="C171" s="71" t="s">
        <v>388</v>
      </c>
      <c r="D171" s="72" t="s">
        <v>38</v>
      </c>
      <c r="E171" s="144">
        <v>38.4</v>
      </c>
      <c r="F171" s="177">
        <v>0</v>
      </c>
      <c r="G171" s="177"/>
      <c r="H171" s="177">
        <f t="shared" si="288"/>
        <v>0</v>
      </c>
      <c r="I171" s="144">
        <f t="shared" si="289"/>
        <v>38.4</v>
      </c>
      <c r="J171" s="75">
        <v>23.32</v>
      </c>
      <c r="K171" s="149">
        <f t="shared" si="282"/>
        <v>28.47</v>
      </c>
      <c r="L171" s="149">
        <f t="shared" si="283"/>
        <v>1093.24</v>
      </c>
      <c r="M171" s="157">
        <f t="shared" si="290"/>
        <v>0</v>
      </c>
      <c r="N171" s="157">
        <f t="shared" si="291"/>
        <v>0</v>
      </c>
      <c r="O171" s="157">
        <f t="shared" si="292"/>
        <v>0</v>
      </c>
      <c r="P171" s="157">
        <f>L171-O171</f>
        <v>1093.24</v>
      </c>
      <c r="Q171" s="194">
        <f t="shared" si="234"/>
        <v>0</v>
      </c>
      <c r="R171" s="194">
        <f t="shared" si="235"/>
        <v>0</v>
      </c>
      <c r="S171" s="195">
        <f t="shared" si="236"/>
        <v>100</v>
      </c>
      <c r="T171" s="28">
        <f t="shared" si="214"/>
        <v>0</v>
      </c>
      <c r="Y171" s="67"/>
    </row>
    <row r="172" spans="1:25" customFormat="1" ht="25.5" x14ac:dyDescent="0.2">
      <c r="A172" s="71" t="s">
        <v>389</v>
      </c>
      <c r="B172" s="30">
        <v>5219623</v>
      </c>
      <c r="C172" s="71" t="s">
        <v>390</v>
      </c>
      <c r="D172" s="72" t="s">
        <v>202</v>
      </c>
      <c r="E172" s="144">
        <v>1059</v>
      </c>
      <c r="F172" s="177">
        <v>0</v>
      </c>
      <c r="G172" s="177"/>
      <c r="H172" s="177">
        <f t="shared" si="288"/>
        <v>0</v>
      </c>
      <c r="I172" s="144">
        <f t="shared" si="289"/>
        <v>1059</v>
      </c>
      <c r="J172" s="75">
        <v>53.41</v>
      </c>
      <c r="K172" s="149">
        <f t="shared" si="282"/>
        <v>65.209999999999994</v>
      </c>
      <c r="L172" s="149">
        <f t="shared" si="283"/>
        <v>69057.39</v>
      </c>
      <c r="M172" s="157">
        <f t="shared" si="290"/>
        <v>0</v>
      </c>
      <c r="N172" s="157">
        <f t="shared" si="291"/>
        <v>0</v>
      </c>
      <c r="O172" s="157">
        <f t="shared" si="292"/>
        <v>0</v>
      </c>
      <c r="P172" s="157">
        <f t="shared" si="293"/>
        <v>69057.39</v>
      </c>
      <c r="Q172" s="194">
        <f t="shared" si="234"/>
        <v>0</v>
      </c>
      <c r="R172" s="194">
        <f t="shared" si="235"/>
        <v>0</v>
      </c>
      <c r="S172" s="195">
        <f t="shared" si="236"/>
        <v>100</v>
      </c>
      <c r="T172" s="28">
        <f t="shared" si="214"/>
        <v>0</v>
      </c>
      <c r="Y172" s="67"/>
    </row>
    <row r="173" spans="1:25" customFormat="1" ht="25.5" x14ac:dyDescent="0.2">
      <c r="A173" s="71" t="s">
        <v>391</v>
      </c>
      <c r="B173" s="30">
        <v>5219631</v>
      </c>
      <c r="C173" s="71" t="s">
        <v>392</v>
      </c>
      <c r="D173" s="72" t="s">
        <v>202</v>
      </c>
      <c r="E173" s="144">
        <v>1229</v>
      </c>
      <c r="F173" s="177">
        <v>0</v>
      </c>
      <c r="G173" s="177"/>
      <c r="H173" s="177">
        <f t="shared" si="288"/>
        <v>0</v>
      </c>
      <c r="I173" s="144">
        <f t="shared" si="289"/>
        <v>1229</v>
      </c>
      <c r="J173" s="75">
        <v>53.41</v>
      </c>
      <c r="K173" s="149">
        <f t="shared" si="282"/>
        <v>65.209999999999994</v>
      </c>
      <c r="L173" s="149">
        <f t="shared" si="283"/>
        <v>80143.09</v>
      </c>
      <c r="M173" s="157">
        <f t="shared" si="290"/>
        <v>0</v>
      </c>
      <c r="N173" s="157">
        <f t="shared" si="291"/>
        <v>0</v>
      </c>
      <c r="O173" s="157">
        <f t="shared" si="292"/>
        <v>0</v>
      </c>
      <c r="P173" s="157">
        <f t="shared" si="293"/>
        <v>80143.09</v>
      </c>
      <c r="Q173" s="194">
        <f t="shared" si="234"/>
        <v>0</v>
      </c>
      <c r="R173" s="194">
        <f t="shared" si="235"/>
        <v>0</v>
      </c>
      <c r="S173" s="195">
        <f t="shared" si="236"/>
        <v>100</v>
      </c>
      <c r="T173" s="28">
        <f t="shared" si="214"/>
        <v>0</v>
      </c>
      <c r="Y173" s="67"/>
    </row>
    <row r="174" spans="1:25" customFormat="1" ht="12.75" x14ac:dyDescent="0.2">
      <c r="A174" s="93" t="s">
        <v>393</v>
      </c>
      <c r="B174" s="94"/>
      <c r="C174" s="93" t="s">
        <v>394</v>
      </c>
      <c r="D174" s="94"/>
      <c r="E174" s="172" t="s">
        <v>41</v>
      </c>
      <c r="F174" s="181"/>
      <c r="G174" s="181"/>
      <c r="H174" s="181"/>
      <c r="I174" s="181"/>
      <c r="J174" s="95" t="s">
        <v>41</v>
      </c>
      <c r="K174" s="147"/>
      <c r="L174" s="163">
        <f>L175+L178+L183+L188</f>
        <v>704610.42</v>
      </c>
      <c r="M174" s="155">
        <f t="shared" ref="M174:P174" si="294">M175+M178+M183+M188</f>
        <v>181866.99000000002</v>
      </c>
      <c r="N174" s="155">
        <f t="shared" si="294"/>
        <v>0</v>
      </c>
      <c r="O174" s="155">
        <f t="shared" si="294"/>
        <v>181866.99000000002</v>
      </c>
      <c r="P174" s="155">
        <f t="shared" si="294"/>
        <v>522743.43</v>
      </c>
      <c r="Q174" s="204">
        <f t="shared" si="234"/>
        <v>0</v>
      </c>
      <c r="R174" s="204">
        <f t="shared" si="235"/>
        <v>25.810999218546897</v>
      </c>
      <c r="S174" s="191">
        <f t="shared" si="236"/>
        <v>74.189000781453103</v>
      </c>
      <c r="T174" s="28">
        <f t="shared" si="214"/>
        <v>181866.99000000005</v>
      </c>
      <c r="Y174" s="67"/>
    </row>
    <row r="175" spans="1:25" customFormat="1" ht="12.75" x14ac:dyDescent="0.2">
      <c r="A175" s="106" t="s">
        <v>395</v>
      </c>
      <c r="B175" s="107"/>
      <c r="C175" s="106" t="s">
        <v>396</v>
      </c>
      <c r="D175" s="107"/>
      <c r="E175" s="169" t="s">
        <v>41</v>
      </c>
      <c r="F175" s="176"/>
      <c r="G175" s="176"/>
      <c r="H175" s="176"/>
      <c r="I175" s="176"/>
      <c r="J175" s="108" t="s">
        <v>41</v>
      </c>
      <c r="K175" s="148"/>
      <c r="L175" s="159">
        <f>SUM(L176:L177)</f>
        <v>190053.78</v>
      </c>
      <c r="M175" s="156">
        <f t="shared" ref="M175:P175" si="295">SUM(M176:M177)</f>
        <v>28119.599999999999</v>
      </c>
      <c r="N175" s="156">
        <f t="shared" si="295"/>
        <v>0</v>
      </c>
      <c r="O175" s="156">
        <f t="shared" si="295"/>
        <v>28119.599999999999</v>
      </c>
      <c r="P175" s="156">
        <f t="shared" si="295"/>
        <v>161934.18</v>
      </c>
      <c r="Q175" s="196">
        <f t="shared" si="234"/>
        <v>0</v>
      </c>
      <c r="R175" s="196">
        <f t="shared" si="235"/>
        <v>14.795601539732594</v>
      </c>
      <c r="S175" s="193">
        <f t="shared" si="236"/>
        <v>85.204398460267399</v>
      </c>
      <c r="T175" s="28">
        <f t="shared" si="214"/>
        <v>28119.600000000006</v>
      </c>
      <c r="Y175" s="67"/>
    </row>
    <row r="176" spans="1:25" customFormat="1" ht="12.75" x14ac:dyDescent="0.2">
      <c r="A176" s="71" t="s">
        <v>397</v>
      </c>
      <c r="B176" s="72" t="s">
        <v>398</v>
      </c>
      <c r="C176" s="71" t="s">
        <v>399</v>
      </c>
      <c r="D176" s="72" t="s">
        <v>38</v>
      </c>
      <c r="E176" s="144">
        <v>3710.25</v>
      </c>
      <c r="F176" s="177">
        <v>0</v>
      </c>
      <c r="G176" s="177"/>
      <c r="H176" s="177">
        <f t="shared" ref="H176" si="296">F176+G176</f>
        <v>0</v>
      </c>
      <c r="I176" s="144">
        <f t="shared" ref="I176" si="297">ROUND(E176-H176,2)</f>
        <v>3710.25</v>
      </c>
      <c r="J176" s="75">
        <v>19.34</v>
      </c>
      <c r="K176" s="149">
        <f t="shared" ref="K176:K177" si="298">TRUNC(J176*1.2211,2)</f>
        <v>23.61</v>
      </c>
      <c r="L176" s="149">
        <f t="shared" ref="L176:L177" si="299">TRUNC(E176*K176,2)</f>
        <v>87599</v>
      </c>
      <c r="M176" s="157">
        <f t="shared" ref="M176" si="300">ROUND(F176*$K176,2)</f>
        <v>0</v>
      </c>
      <c r="N176" s="157">
        <f t="shared" ref="N176" si="301">ROUND(G176*$K176,2)</f>
        <v>0</v>
      </c>
      <c r="O176" s="157">
        <f t="shared" ref="O176" si="302">ROUND(H176*$K176,2)</f>
        <v>0</v>
      </c>
      <c r="P176" s="157">
        <f>L176-O176</f>
        <v>87599</v>
      </c>
      <c r="Q176" s="194">
        <f t="shared" si="234"/>
        <v>0</v>
      </c>
      <c r="R176" s="194">
        <f t="shared" si="235"/>
        <v>0</v>
      </c>
      <c r="S176" s="195">
        <f t="shared" si="236"/>
        <v>100</v>
      </c>
      <c r="T176" s="28">
        <f t="shared" si="214"/>
        <v>0</v>
      </c>
      <c r="Y176" s="67"/>
    </row>
    <row r="177" spans="1:25" customFormat="1" ht="12.75" x14ac:dyDescent="0.2">
      <c r="A177" s="71" t="s">
        <v>400</v>
      </c>
      <c r="B177" s="71" t="s">
        <v>401</v>
      </c>
      <c r="C177" s="71" t="s">
        <v>402</v>
      </c>
      <c r="D177" s="72" t="s">
        <v>38</v>
      </c>
      <c r="E177" s="144">
        <v>40656.660000000003</v>
      </c>
      <c r="F177" s="144">
        <v>11158.57314</v>
      </c>
      <c r="G177" s="144"/>
      <c r="H177" s="144">
        <f t="shared" ref="H177" si="303">F177+G177</f>
        <v>11158.57314</v>
      </c>
      <c r="I177" s="144">
        <f t="shared" ref="I177" si="304">ROUND(E177-H177,2)</f>
        <v>29498.09</v>
      </c>
      <c r="J177" s="75">
        <v>2.0699999999999998</v>
      </c>
      <c r="K177" s="149">
        <f t="shared" si="298"/>
        <v>2.52</v>
      </c>
      <c r="L177" s="149">
        <f t="shared" si="299"/>
        <v>102454.78</v>
      </c>
      <c r="M177" s="157">
        <f t="shared" ref="M177" si="305">ROUND(F177*$K177,2)</f>
        <v>28119.599999999999</v>
      </c>
      <c r="N177" s="157">
        <f t="shared" ref="N177" si="306">ROUND(G177*$K177,2)</f>
        <v>0</v>
      </c>
      <c r="O177" s="157">
        <f t="shared" ref="O177" si="307">ROUND(H177*$K177,2)</f>
        <v>28119.599999999999</v>
      </c>
      <c r="P177" s="157">
        <f>L177-O177</f>
        <v>74335.179999999993</v>
      </c>
      <c r="Q177" s="194">
        <f t="shared" si="234"/>
        <v>0</v>
      </c>
      <c r="R177" s="194">
        <f t="shared" si="235"/>
        <v>27.445864409644916</v>
      </c>
      <c r="S177" s="195">
        <f t="shared" si="236"/>
        <v>72.554135590355074</v>
      </c>
      <c r="T177" s="28">
        <f t="shared" si="214"/>
        <v>28119.600000000006</v>
      </c>
      <c r="Y177" s="67"/>
    </row>
    <row r="178" spans="1:25" customFormat="1" ht="12.75" x14ac:dyDescent="0.2">
      <c r="A178" s="106" t="s">
        <v>403</v>
      </c>
      <c r="B178" s="112"/>
      <c r="C178" s="106" t="s">
        <v>404</v>
      </c>
      <c r="D178" s="107"/>
      <c r="E178" s="169" t="s">
        <v>41</v>
      </c>
      <c r="F178" s="176"/>
      <c r="G178" s="176"/>
      <c r="H178" s="176"/>
      <c r="I178" s="176"/>
      <c r="J178" s="108" t="s">
        <v>41</v>
      </c>
      <c r="K178" s="148"/>
      <c r="L178" s="156">
        <f>SUM(L179:L182)</f>
        <v>469122.18</v>
      </c>
      <c r="M178" s="156">
        <f t="shared" ref="M178:P178" si="308">SUM(M179:M182)</f>
        <v>153747.39000000001</v>
      </c>
      <c r="N178" s="156">
        <f t="shared" si="308"/>
        <v>0</v>
      </c>
      <c r="O178" s="156">
        <f t="shared" si="308"/>
        <v>153747.39000000001</v>
      </c>
      <c r="P178" s="156">
        <f t="shared" si="308"/>
        <v>315374.78999999998</v>
      </c>
      <c r="Q178" s="196">
        <f t="shared" si="234"/>
        <v>0</v>
      </c>
      <c r="R178" s="196">
        <f t="shared" si="235"/>
        <v>32.773421627602431</v>
      </c>
      <c r="S178" s="193">
        <f t="shared" si="236"/>
        <v>67.226578372397569</v>
      </c>
      <c r="T178" s="28">
        <f t="shared" si="214"/>
        <v>153747.39000000001</v>
      </c>
      <c r="Y178" s="67"/>
    </row>
    <row r="179" spans="1:25" customFormat="1" ht="12.75" x14ac:dyDescent="0.2">
      <c r="A179" s="71" t="s">
        <v>405</v>
      </c>
      <c r="B179" s="72" t="s">
        <v>406</v>
      </c>
      <c r="C179" s="71" t="s">
        <v>407</v>
      </c>
      <c r="D179" s="72" t="s">
        <v>48</v>
      </c>
      <c r="E179" s="144">
        <v>50</v>
      </c>
      <c r="F179" s="177">
        <v>0</v>
      </c>
      <c r="G179" s="177"/>
      <c r="H179" s="177">
        <f t="shared" ref="H179" si="309">F179+G179</f>
        <v>0</v>
      </c>
      <c r="I179" s="144">
        <f t="shared" ref="I179" si="310">ROUND(E179-H179,2)</f>
        <v>50</v>
      </c>
      <c r="J179" s="75">
        <v>93.47</v>
      </c>
      <c r="K179" s="149">
        <f t="shared" ref="K179:K182" si="311">TRUNC(J179*1.2211,2)</f>
        <v>114.13</v>
      </c>
      <c r="L179" s="149">
        <f t="shared" ref="L179:L182" si="312">TRUNC(E179*K179,2)</f>
        <v>5706.5</v>
      </c>
      <c r="M179" s="157">
        <f t="shared" ref="M179" si="313">ROUND(F179*$K179,2)</f>
        <v>0</v>
      </c>
      <c r="N179" s="157">
        <f t="shared" ref="N179" si="314">ROUND(G179*$K179,2)</f>
        <v>0</v>
      </c>
      <c r="O179" s="157">
        <f t="shared" ref="O179" si="315">ROUND(H179*$K179,2)</f>
        <v>0</v>
      </c>
      <c r="P179" s="157">
        <f t="shared" ref="P179:P190" si="316">L179-O179</f>
        <v>5706.5</v>
      </c>
      <c r="Q179" s="194">
        <f t="shared" si="234"/>
        <v>0</v>
      </c>
      <c r="R179" s="194">
        <f t="shared" si="235"/>
        <v>0</v>
      </c>
      <c r="S179" s="195">
        <f t="shared" si="236"/>
        <v>100</v>
      </c>
      <c r="T179" s="28">
        <f t="shared" si="214"/>
        <v>0</v>
      </c>
      <c r="Y179" s="67"/>
    </row>
    <row r="180" spans="1:25" customFormat="1" ht="25.5" x14ac:dyDescent="0.2">
      <c r="A180" s="71" t="s">
        <v>408</v>
      </c>
      <c r="B180" s="72" t="s">
        <v>409</v>
      </c>
      <c r="C180" s="71" t="s">
        <v>544</v>
      </c>
      <c r="D180" s="72" t="s">
        <v>52</v>
      </c>
      <c r="E180" s="144">
        <v>4883</v>
      </c>
      <c r="F180" s="177">
        <v>0</v>
      </c>
      <c r="G180" s="177"/>
      <c r="H180" s="177">
        <f t="shared" ref="H180:H182" si="317">F180+G180</f>
        <v>0</v>
      </c>
      <c r="I180" s="144">
        <f t="shared" ref="I180:I182" si="318">ROUND(E180-H180,2)</f>
        <v>4883</v>
      </c>
      <c r="J180" s="75">
        <v>1.3</v>
      </c>
      <c r="K180" s="149">
        <f t="shared" si="311"/>
        <v>1.58</v>
      </c>
      <c r="L180" s="149">
        <f t="shared" si="312"/>
        <v>7715.14</v>
      </c>
      <c r="M180" s="157">
        <f t="shared" ref="M180:M182" si="319">ROUND(F180*$K180,2)</f>
        <v>0</v>
      </c>
      <c r="N180" s="157">
        <f t="shared" ref="N180:N182" si="320">ROUND(G180*$K180,2)</f>
        <v>0</v>
      </c>
      <c r="O180" s="157">
        <f t="shared" ref="O180:O182" si="321">ROUND(H180*$K180,2)</f>
        <v>0</v>
      </c>
      <c r="P180" s="157">
        <f t="shared" si="316"/>
        <v>7715.14</v>
      </c>
      <c r="Q180" s="194">
        <f t="shared" si="234"/>
        <v>0</v>
      </c>
      <c r="R180" s="194">
        <f t="shared" si="235"/>
        <v>0</v>
      </c>
      <c r="S180" s="195">
        <f t="shared" si="236"/>
        <v>100</v>
      </c>
      <c r="T180" s="28">
        <f t="shared" si="214"/>
        <v>0</v>
      </c>
      <c r="Y180" s="67"/>
    </row>
    <row r="181" spans="1:25" customFormat="1" ht="12.75" x14ac:dyDescent="0.2">
      <c r="A181" s="71" t="s">
        <v>410</v>
      </c>
      <c r="B181" s="72" t="s">
        <v>411</v>
      </c>
      <c r="C181" s="71" t="s">
        <v>412</v>
      </c>
      <c r="D181" s="72" t="s">
        <v>413</v>
      </c>
      <c r="E181" s="144">
        <v>60057</v>
      </c>
      <c r="F181" s="177">
        <v>0</v>
      </c>
      <c r="G181" s="177"/>
      <c r="H181" s="177">
        <f t="shared" si="317"/>
        <v>0</v>
      </c>
      <c r="I181" s="144">
        <f t="shared" si="318"/>
        <v>60057</v>
      </c>
      <c r="J181" s="75">
        <v>0.45</v>
      </c>
      <c r="K181" s="149">
        <f t="shared" si="311"/>
        <v>0.54</v>
      </c>
      <c r="L181" s="149">
        <f t="shared" si="312"/>
        <v>32430.78</v>
      </c>
      <c r="M181" s="157">
        <f t="shared" si="319"/>
        <v>0</v>
      </c>
      <c r="N181" s="157">
        <f t="shared" si="320"/>
        <v>0</v>
      </c>
      <c r="O181" s="157">
        <f t="shared" si="321"/>
        <v>0</v>
      </c>
      <c r="P181" s="157">
        <f t="shared" si="316"/>
        <v>32430.78</v>
      </c>
      <c r="Q181" s="194">
        <f t="shared" si="234"/>
        <v>0</v>
      </c>
      <c r="R181" s="194">
        <f t="shared" si="235"/>
        <v>0</v>
      </c>
      <c r="S181" s="195">
        <f t="shared" si="236"/>
        <v>100</v>
      </c>
      <c r="T181" s="28">
        <f t="shared" si="214"/>
        <v>0</v>
      </c>
      <c r="Y181" s="67"/>
    </row>
    <row r="182" spans="1:25" customFormat="1" ht="25.5" x14ac:dyDescent="0.2">
      <c r="A182" s="71" t="s">
        <v>414</v>
      </c>
      <c r="B182" s="33"/>
      <c r="C182" s="71" t="s">
        <v>415</v>
      </c>
      <c r="D182" s="72" t="s">
        <v>52</v>
      </c>
      <c r="E182" s="145">
        <v>17088</v>
      </c>
      <c r="F182" s="180">
        <v>6207</v>
      </c>
      <c r="G182" s="180"/>
      <c r="H182" s="180">
        <f t="shared" si="317"/>
        <v>6207</v>
      </c>
      <c r="I182" s="145">
        <f t="shared" si="318"/>
        <v>10881</v>
      </c>
      <c r="J182" s="62">
        <v>20.29</v>
      </c>
      <c r="K182" s="150">
        <f t="shared" si="311"/>
        <v>24.77</v>
      </c>
      <c r="L182" s="150">
        <f t="shared" si="312"/>
        <v>423269.76</v>
      </c>
      <c r="M182" s="158">
        <f t="shared" si="319"/>
        <v>153747.39000000001</v>
      </c>
      <c r="N182" s="158">
        <f t="shared" si="320"/>
        <v>0</v>
      </c>
      <c r="O182" s="158">
        <f t="shared" si="321"/>
        <v>153747.39000000001</v>
      </c>
      <c r="P182" s="157">
        <f t="shared" si="316"/>
        <v>269522.37</v>
      </c>
      <c r="Q182" s="197">
        <f t="shared" si="234"/>
        <v>0</v>
      </c>
      <c r="R182" s="197">
        <f t="shared" si="235"/>
        <v>36.323735955056179</v>
      </c>
      <c r="S182" s="198">
        <f t="shared" si="236"/>
        <v>63.676264044943821</v>
      </c>
      <c r="T182" s="28">
        <f t="shared" si="214"/>
        <v>153747.39000000001</v>
      </c>
      <c r="Y182" s="67"/>
    </row>
    <row r="183" spans="1:25" customFormat="1" ht="12.75" x14ac:dyDescent="0.2">
      <c r="A183" s="106" t="s">
        <v>416</v>
      </c>
      <c r="B183" s="112"/>
      <c r="C183" s="106" t="s">
        <v>417</v>
      </c>
      <c r="D183" s="107"/>
      <c r="E183" s="169" t="s">
        <v>41</v>
      </c>
      <c r="F183" s="176"/>
      <c r="G183" s="176"/>
      <c r="H183" s="176"/>
      <c r="I183" s="176"/>
      <c r="J183" s="108" t="s">
        <v>41</v>
      </c>
      <c r="K183" s="148"/>
      <c r="L183" s="156">
        <f>SUM(L184:L187)</f>
        <v>28473.059999999998</v>
      </c>
      <c r="M183" s="156">
        <f t="shared" ref="M183:P183" si="322">SUM(M184:M187)</f>
        <v>0</v>
      </c>
      <c r="N183" s="156">
        <f t="shared" si="322"/>
        <v>0</v>
      </c>
      <c r="O183" s="156">
        <f t="shared" si="322"/>
        <v>0</v>
      </c>
      <c r="P183" s="156">
        <f t="shared" si="322"/>
        <v>28473.059999999998</v>
      </c>
      <c r="Q183" s="196">
        <f t="shared" si="234"/>
        <v>0</v>
      </c>
      <c r="R183" s="196">
        <f t="shared" si="235"/>
        <v>0</v>
      </c>
      <c r="S183" s="193">
        <f t="shared" si="236"/>
        <v>100</v>
      </c>
      <c r="T183" s="28">
        <f t="shared" si="214"/>
        <v>0</v>
      </c>
      <c r="Y183" s="67"/>
    </row>
    <row r="184" spans="1:25" customFormat="1" ht="38.25" x14ac:dyDescent="0.2">
      <c r="A184" s="71" t="s">
        <v>418</v>
      </c>
      <c r="B184" s="72" t="s">
        <v>419</v>
      </c>
      <c r="C184" s="71" t="s">
        <v>499</v>
      </c>
      <c r="D184" s="72" t="s">
        <v>38</v>
      </c>
      <c r="E184" s="145">
        <v>210</v>
      </c>
      <c r="F184" s="180">
        <v>0</v>
      </c>
      <c r="G184" s="180"/>
      <c r="H184" s="180">
        <f t="shared" ref="H184" si="323">F184+G184</f>
        <v>0</v>
      </c>
      <c r="I184" s="145">
        <f t="shared" ref="I184" si="324">ROUND(E184-H184,2)</f>
        <v>210</v>
      </c>
      <c r="J184" s="62">
        <v>87.88</v>
      </c>
      <c r="K184" s="150">
        <f t="shared" ref="K184:K187" si="325">TRUNC(J184*1.2211,2)</f>
        <v>107.31</v>
      </c>
      <c r="L184" s="150">
        <f t="shared" ref="L184:L187" si="326">TRUNC(E184*K184,2)</f>
        <v>22535.1</v>
      </c>
      <c r="M184" s="158">
        <f t="shared" ref="M184" si="327">ROUND(F184*$K184,2)</f>
        <v>0</v>
      </c>
      <c r="N184" s="158">
        <f t="shared" ref="N184" si="328">ROUND(G184*$K184,2)</f>
        <v>0</v>
      </c>
      <c r="O184" s="158">
        <f t="shared" ref="O184" si="329">ROUND(H184*$K184,2)</f>
        <v>0</v>
      </c>
      <c r="P184" s="157">
        <f t="shared" si="316"/>
        <v>22535.1</v>
      </c>
      <c r="Q184" s="197">
        <f t="shared" si="234"/>
        <v>0</v>
      </c>
      <c r="R184" s="197">
        <f t="shared" si="235"/>
        <v>0</v>
      </c>
      <c r="S184" s="198">
        <f t="shared" si="236"/>
        <v>100</v>
      </c>
      <c r="T184" s="28">
        <f t="shared" si="214"/>
        <v>0</v>
      </c>
      <c r="Y184" s="67"/>
    </row>
    <row r="185" spans="1:25" customFormat="1" ht="25.5" x14ac:dyDescent="0.2">
      <c r="A185" s="71" t="s">
        <v>420</v>
      </c>
      <c r="B185" s="72" t="s">
        <v>421</v>
      </c>
      <c r="C185" s="71" t="s">
        <v>422</v>
      </c>
      <c r="D185" s="72" t="s">
        <v>71</v>
      </c>
      <c r="E185" s="144">
        <v>21</v>
      </c>
      <c r="F185" s="177">
        <v>0</v>
      </c>
      <c r="G185" s="177"/>
      <c r="H185" s="177">
        <f t="shared" ref="H185:H187" si="330">F185+G185</f>
        <v>0</v>
      </c>
      <c r="I185" s="144">
        <f t="shared" ref="I185:I187" si="331">ROUND(E185-H185,2)</f>
        <v>21</v>
      </c>
      <c r="J185" s="75">
        <v>167.82</v>
      </c>
      <c r="K185" s="149">
        <f t="shared" si="325"/>
        <v>204.92</v>
      </c>
      <c r="L185" s="149">
        <f t="shared" si="326"/>
        <v>4303.32</v>
      </c>
      <c r="M185" s="157">
        <f t="shared" ref="M185:M187" si="332">ROUND(F185*$K185,2)</f>
        <v>0</v>
      </c>
      <c r="N185" s="157">
        <f t="shared" ref="N185:N187" si="333">ROUND(G185*$K185,2)</f>
        <v>0</v>
      </c>
      <c r="O185" s="157">
        <f t="shared" ref="O185:O187" si="334">ROUND(H185*$K185,2)</f>
        <v>0</v>
      </c>
      <c r="P185" s="157">
        <f t="shared" si="316"/>
        <v>4303.32</v>
      </c>
      <c r="Q185" s="194">
        <f t="shared" si="234"/>
        <v>0</v>
      </c>
      <c r="R185" s="194">
        <f t="shared" si="235"/>
        <v>0</v>
      </c>
      <c r="S185" s="195">
        <f t="shared" si="236"/>
        <v>100</v>
      </c>
      <c r="T185" s="28">
        <f t="shared" si="214"/>
        <v>0</v>
      </c>
      <c r="Y185" s="67"/>
    </row>
    <row r="186" spans="1:25" customFormat="1" ht="25.5" x14ac:dyDescent="0.2">
      <c r="A186" s="71" t="s">
        <v>423</v>
      </c>
      <c r="B186" s="72" t="s">
        <v>424</v>
      </c>
      <c r="C186" s="71" t="s">
        <v>425</v>
      </c>
      <c r="D186" s="72" t="s">
        <v>52</v>
      </c>
      <c r="E186" s="144">
        <v>21</v>
      </c>
      <c r="F186" s="177">
        <v>0</v>
      </c>
      <c r="G186" s="177"/>
      <c r="H186" s="177">
        <f t="shared" si="330"/>
        <v>0</v>
      </c>
      <c r="I186" s="144">
        <f t="shared" si="331"/>
        <v>21</v>
      </c>
      <c r="J186" s="75">
        <v>41.44</v>
      </c>
      <c r="K186" s="149">
        <f t="shared" si="325"/>
        <v>50.6</v>
      </c>
      <c r="L186" s="149">
        <f t="shared" si="326"/>
        <v>1062.5999999999999</v>
      </c>
      <c r="M186" s="157">
        <f t="shared" si="332"/>
        <v>0</v>
      </c>
      <c r="N186" s="157">
        <f t="shared" si="333"/>
        <v>0</v>
      </c>
      <c r="O186" s="157">
        <f t="shared" si="334"/>
        <v>0</v>
      </c>
      <c r="P186" s="157">
        <f t="shared" si="316"/>
        <v>1062.5999999999999</v>
      </c>
      <c r="Q186" s="194">
        <f t="shared" si="234"/>
        <v>0</v>
      </c>
      <c r="R186" s="194">
        <f t="shared" si="235"/>
        <v>0</v>
      </c>
      <c r="S186" s="195">
        <f t="shared" si="236"/>
        <v>100</v>
      </c>
      <c r="T186" s="28">
        <f t="shared" si="214"/>
        <v>0</v>
      </c>
      <c r="Y186" s="67"/>
    </row>
    <row r="187" spans="1:25" customFormat="1" ht="25.5" x14ac:dyDescent="0.2">
      <c r="A187" s="71" t="s">
        <v>426</v>
      </c>
      <c r="B187" s="72" t="s">
        <v>427</v>
      </c>
      <c r="C187" s="71" t="s">
        <v>428</v>
      </c>
      <c r="D187" s="72" t="s">
        <v>52</v>
      </c>
      <c r="E187" s="144">
        <v>7</v>
      </c>
      <c r="F187" s="177">
        <v>0</v>
      </c>
      <c r="G187" s="177"/>
      <c r="H187" s="177">
        <f t="shared" si="330"/>
        <v>0</v>
      </c>
      <c r="I187" s="144">
        <f t="shared" si="331"/>
        <v>7</v>
      </c>
      <c r="J187" s="75">
        <v>66.930000000000007</v>
      </c>
      <c r="K187" s="149">
        <f t="shared" si="325"/>
        <v>81.72</v>
      </c>
      <c r="L187" s="149">
        <f t="shared" si="326"/>
        <v>572.04</v>
      </c>
      <c r="M187" s="157">
        <f t="shared" si="332"/>
        <v>0</v>
      </c>
      <c r="N187" s="157">
        <f t="shared" si="333"/>
        <v>0</v>
      </c>
      <c r="O187" s="157">
        <f t="shared" si="334"/>
        <v>0</v>
      </c>
      <c r="P187" s="157">
        <f t="shared" si="316"/>
        <v>572.04</v>
      </c>
      <c r="Q187" s="194">
        <f t="shared" si="234"/>
        <v>0</v>
      </c>
      <c r="R187" s="194">
        <f t="shared" si="235"/>
        <v>0</v>
      </c>
      <c r="S187" s="195">
        <f t="shared" si="236"/>
        <v>100</v>
      </c>
      <c r="T187" s="28">
        <f t="shared" si="214"/>
        <v>0</v>
      </c>
      <c r="Y187" s="67"/>
    </row>
    <row r="188" spans="1:25" customFormat="1" ht="12.75" x14ac:dyDescent="0.2">
      <c r="A188" s="106" t="s">
        <v>429</v>
      </c>
      <c r="B188" s="112"/>
      <c r="C188" s="106" t="s">
        <v>430</v>
      </c>
      <c r="D188" s="107"/>
      <c r="E188" s="169" t="s">
        <v>41</v>
      </c>
      <c r="F188" s="176"/>
      <c r="G188" s="176"/>
      <c r="H188" s="176"/>
      <c r="I188" s="176"/>
      <c r="J188" s="108" t="s">
        <v>41</v>
      </c>
      <c r="K188" s="148"/>
      <c r="L188" s="156">
        <f>SUM(L189:L190)</f>
        <v>16961.400000000001</v>
      </c>
      <c r="M188" s="156">
        <f t="shared" ref="M188:P188" si="335">SUM(M189:M190)</f>
        <v>0</v>
      </c>
      <c r="N188" s="156">
        <f t="shared" si="335"/>
        <v>0</v>
      </c>
      <c r="O188" s="156">
        <f t="shared" si="335"/>
        <v>0</v>
      </c>
      <c r="P188" s="156">
        <f t="shared" si="335"/>
        <v>16961.400000000001</v>
      </c>
      <c r="Q188" s="196">
        <f t="shared" si="234"/>
        <v>0</v>
      </c>
      <c r="R188" s="196">
        <f t="shared" si="235"/>
        <v>0</v>
      </c>
      <c r="S188" s="193">
        <f t="shared" si="236"/>
        <v>100</v>
      </c>
      <c r="T188" s="28">
        <f t="shared" si="214"/>
        <v>0</v>
      </c>
      <c r="Y188" s="67"/>
    </row>
    <row r="189" spans="1:25" customFormat="1" ht="12.75" x14ac:dyDescent="0.2">
      <c r="A189" s="71" t="s">
        <v>431</v>
      </c>
      <c r="B189" s="72" t="s">
        <v>432</v>
      </c>
      <c r="C189" s="71" t="s">
        <v>433</v>
      </c>
      <c r="D189" s="72" t="s">
        <v>71</v>
      </c>
      <c r="E189" s="144">
        <v>20</v>
      </c>
      <c r="F189" s="177">
        <v>0</v>
      </c>
      <c r="G189" s="177"/>
      <c r="H189" s="177">
        <f t="shared" ref="H189" si="336">F189+G189</f>
        <v>0</v>
      </c>
      <c r="I189" s="144">
        <f t="shared" ref="I189" si="337">ROUND(E189-H189,2)</f>
        <v>20</v>
      </c>
      <c r="J189" s="75">
        <v>523.1</v>
      </c>
      <c r="K189" s="149">
        <f t="shared" ref="K189:K190" si="338">TRUNC(J189*1.2211,2)</f>
        <v>638.75</v>
      </c>
      <c r="L189" s="149">
        <f t="shared" ref="L189:L190" si="339">TRUNC(E189*K189,2)</f>
        <v>12775</v>
      </c>
      <c r="M189" s="157">
        <f t="shared" ref="M189" si="340">ROUND(F189*$K189,2)</f>
        <v>0</v>
      </c>
      <c r="N189" s="157">
        <f t="shared" ref="N189" si="341">ROUND(G189*$K189,2)</f>
        <v>0</v>
      </c>
      <c r="O189" s="157">
        <f t="shared" ref="O189" si="342">ROUND(H189*$K189,2)</f>
        <v>0</v>
      </c>
      <c r="P189" s="157">
        <f t="shared" si="316"/>
        <v>12775</v>
      </c>
      <c r="Q189" s="194">
        <f t="shared" si="234"/>
        <v>0</v>
      </c>
      <c r="R189" s="194">
        <f t="shared" si="235"/>
        <v>0</v>
      </c>
      <c r="S189" s="195">
        <f t="shared" si="236"/>
        <v>100</v>
      </c>
      <c r="T189" s="28">
        <f t="shared" si="214"/>
        <v>0</v>
      </c>
      <c r="V189">
        <v>240284.79</v>
      </c>
      <c r="Y189" s="67"/>
    </row>
    <row r="190" spans="1:25" customFormat="1" ht="25.5" x14ac:dyDescent="0.2">
      <c r="A190" s="71" t="s">
        <v>434</v>
      </c>
      <c r="B190" s="72" t="s">
        <v>435</v>
      </c>
      <c r="C190" s="71" t="s">
        <v>436</v>
      </c>
      <c r="D190" s="72" t="s">
        <v>38</v>
      </c>
      <c r="E190" s="144">
        <v>80</v>
      </c>
      <c r="F190" s="177">
        <v>0</v>
      </c>
      <c r="G190" s="177"/>
      <c r="H190" s="177">
        <f t="shared" ref="H190" si="343">F190+G190</f>
        <v>0</v>
      </c>
      <c r="I190" s="144">
        <f t="shared" ref="I190" si="344">ROUND(E190-H190,2)</f>
        <v>80</v>
      </c>
      <c r="J190" s="75">
        <v>42.86</v>
      </c>
      <c r="K190" s="149">
        <f t="shared" si="338"/>
        <v>52.33</v>
      </c>
      <c r="L190" s="149">
        <f t="shared" si="339"/>
        <v>4186.3999999999996</v>
      </c>
      <c r="M190" s="157">
        <f t="shared" ref="M190" si="345">ROUND(F190*$K190,2)</f>
        <v>0</v>
      </c>
      <c r="N190" s="157">
        <f t="shared" ref="N190" si="346">ROUND(G190*$K190,2)</f>
        <v>0</v>
      </c>
      <c r="O190" s="157">
        <f t="shared" ref="O190" si="347">ROUND(H190*$K190,2)</f>
        <v>0</v>
      </c>
      <c r="P190" s="157">
        <f t="shared" si="316"/>
        <v>4186.3999999999996</v>
      </c>
      <c r="Q190" s="194">
        <f t="shared" si="234"/>
        <v>0</v>
      </c>
      <c r="R190" s="194">
        <f t="shared" si="235"/>
        <v>0</v>
      </c>
      <c r="S190" s="195">
        <f t="shared" si="236"/>
        <v>100</v>
      </c>
      <c r="T190" s="28">
        <f t="shared" si="214"/>
        <v>0</v>
      </c>
      <c r="Y190" s="67"/>
    </row>
    <row r="191" spans="1:25" customFormat="1" ht="12.75" x14ac:dyDescent="0.2">
      <c r="A191" s="93" t="s">
        <v>437</v>
      </c>
      <c r="B191" s="98"/>
      <c r="C191" s="93" t="s">
        <v>438</v>
      </c>
      <c r="D191" s="94"/>
      <c r="E191" s="172" t="s">
        <v>41</v>
      </c>
      <c r="F191" s="181"/>
      <c r="G191" s="181"/>
      <c r="H191" s="181"/>
      <c r="I191" s="181"/>
      <c r="J191" s="95" t="s">
        <v>41</v>
      </c>
      <c r="K191" s="147"/>
      <c r="L191" s="163">
        <f>L192+L196</f>
        <v>254083.18999999997</v>
      </c>
      <c r="M191" s="155">
        <f t="shared" ref="M191:P191" si="348">M192+M196</f>
        <v>197497.69999999998</v>
      </c>
      <c r="N191" s="155">
        <f t="shared" si="348"/>
        <v>5262.2369009999993</v>
      </c>
      <c r="O191" s="155">
        <f t="shared" si="348"/>
        <v>202759.93690100001</v>
      </c>
      <c r="P191" s="155">
        <f t="shared" si="348"/>
        <v>51323.253098999994</v>
      </c>
      <c r="Q191" s="209">
        <f>N191/L191*100</f>
        <v>2.0710684957159109</v>
      </c>
      <c r="R191" s="204">
        <f t="shared" si="235"/>
        <v>79.80061054058713</v>
      </c>
      <c r="S191" s="191">
        <f t="shared" si="236"/>
        <v>20.199389459412881</v>
      </c>
      <c r="T191" s="28">
        <f t="shared" si="214"/>
        <v>202759.93690099998</v>
      </c>
      <c r="U191" s="37">
        <f>(L192/U192)</f>
        <v>2.5824198747875893E-2</v>
      </c>
      <c r="V191" s="36">
        <f>N207*U191</f>
        <v>6949.5430724780263</v>
      </c>
      <c r="Y191" s="67"/>
    </row>
    <row r="192" spans="1:25" customFormat="1" ht="12.75" x14ac:dyDescent="0.2">
      <c r="A192" s="106" t="s">
        <v>439</v>
      </c>
      <c r="B192" s="112"/>
      <c r="C192" s="106" t="s">
        <v>440</v>
      </c>
      <c r="D192" s="107"/>
      <c r="E192" s="169" t="s">
        <v>41</v>
      </c>
      <c r="F192" s="176"/>
      <c r="G192" s="176"/>
      <c r="H192" s="176"/>
      <c r="I192" s="176"/>
      <c r="J192" s="108" t="s">
        <v>41</v>
      </c>
      <c r="K192" s="148"/>
      <c r="L192" s="159">
        <f>SUM(L193:L195)</f>
        <v>240284.78999999998</v>
      </c>
      <c r="M192" s="156">
        <f t="shared" ref="M192:P192" si="349">SUM(M193:M195)</f>
        <v>190598.49999999997</v>
      </c>
      <c r="N192" s="156">
        <f>SUM(N193:N195)</f>
        <v>5262.2369009999993</v>
      </c>
      <c r="O192" s="156">
        <f t="shared" si="349"/>
        <v>195860.736901</v>
      </c>
      <c r="P192" s="156">
        <f t="shared" si="349"/>
        <v>44424.053098999997</v>
      </c>
      <c r="Q192" s="210">
        <f>N192/L192*100</f>
        <v>2.19</v>
      </c>
      <c r="R192" s="196">
        <f t="shared" si="235"/>
        <v>81.511916297739859</v>
      </c>
      <c r="S192" s="193">
        <f t="shared" si="236"/>
        <v>18.488083702260138</v>
      </c>
      <c r="T192" s="28">
        <f t="shared" si="214"/>
        <v>195860.73690099997</v>
      </c>
      <c r="U192" s="42">
        <v>9304636.8000000007</v>
      </c>
      <c r="Y192" s="67"/>
    </row>
    <row r="193" spans="1:25" customFormat="1" ht="12.75" x14ac:dyDescent="0.2">
      <c r="A193" s="71" t="s">
        <v>441</v>
      </c>
      <c r="B193" s="71"/>
      <c r="C193" s="71" t="s">
        <v>442</v>
      </c>
      <c r="D193" s="72" t="s">
        <v>48</v>
      </c>
      <c r="E193" s="145">
        <v>1</v>
      </c>
      <c r="F193" s="186">
        <v>0.79321918000000002</v>
      </c>
      <c r="G193" s="186">
        <v>2.1899999999999999E-2</v>
      </c>
      <c r="H193" s="186">
        <f t="shared" ref="H193" si="350">F193+G193</f>
        <v>0.81511918000000005</v>
      </c>
      <c r="I193" s="186">
        <f>E193-H193</f>
        <v>0.18488081999999995</v>
      </c>
      <c r="J193" s="62">
        <v>188348</v>
      </c>
      <c r="K193" s="150">
        <f t="shared" ref="K193:K195" si="351">TRUNC(J193*1.2211,2)</f>
        <v>229991.74</v>
      </c>
      <c r="L193" s="150">
        <f t="shared" ref="L193:L195" si="352">TRUNC(E193*K193,2)</f>
        <v>229991.74</v>
      </c>
      <c r="M193" s="158">
        <f t="shared" ref="M193:M195" si="353">ROUND(F193*$K193,2)</f>
        <v>182433.86</v>
      </c>
      <c r="N193" s="158">
        <f>G193*K193</f>
        <v>5036.8191059999999</v>
      </c>
      <c r="O193" s="158">
        <f>M193+N193</f>
        <v>187470.679106</v>
      </c>
      <c r="P193" s="157">
        <f t="shared" ref="P193:P197" si="354">L193-O193</f>
        <v>42521.060893999995</v>
      </c>
      <c r="Q193" s="211">
        <f t="shared" si="234"/>
        <v>2.19</v>
      </c>
      <c r="R193" s="197">
        <f t="shared" si="235"/>
        <v>81.511918256716527</v>
      </c>
      <c r="S193" s="198">
        <f t="shared" si="236"/>
        <v>18.488081743283473</v>
      </c>
      <c r="T193" s="28">
        <f t="shared" si="214"/>
        <v>187470.679106</v>
      </c>
      <c r="V193" s="38">
        <f>V191/V189</f>
        <v>2.8922109770152436E-2</v>
      </c>
      <c r="Y193" s="67"/>
    </row>
    <row r="194" spans="1:25" customFormat="1" ht="12.75" x14ac:dyDescent="0.2">
      <c r="A194" s="71" t="s">
        <v>443</v>
      </c>
      <c r="B194" s="33"/>
      <c r="C194" s="71" t="s">
        <v>444</v>
      </c>
      <c r="D194" s="72" t="s">
        <v>48</v>
      </c>
      <c r="E194" s="144">
        <v>1</v>
      </c>
      <c r="F194" s="187">
        <f>F193</f>
        <v>0.79321918000000002</v>
      </c>
      <c r="G194" s="187">
        <f>G193</f>
        <v>2.1899999999999999E-2</v>
      </c>
      <c r="H194" s="187">
        <f t="shared" ref="H194:H197" si="355">F194+G194</f>
        <v>0.81511918000000005</v>
      </c>
      <c r="I194" s="186">
        <f t="shared" ref="I194:I195" si="356">E194-H194</f>
        <v>0.18488081999999995</v>
      </c>
      <c r="J194" s="75">
        <v>5309.33</v>
      </c>
      <c r="K194" s="149">
        <f t="shared" si="351"/>
        <v>6483.22</v>
      </c>
      <c r="L194" s="149">
        <f t="shared" si="352"/>
        <v>6483.22</v>
      </c>
      <c r="M194" s="157">
        <f t="shared" si="353"/>
        <v>5142.6099999999997</v>
      </c>
      <c r="N194" s="158">
        <f t="shared" ref="N194:N195" si="357">G194*K194</f>
        <v>141.982518</v>
      </c>
      <c r="O194" s="157">
        <f>M194+N194</f>
        <v>5284.5925179999995</v>
      </c>
      <c r="P194" s="157">
        <f t="shared" si="354"/>
        <v>1198.6274820000008</v>
      </c>
      <c r="Q194" s="212">
        <f t="shared" si="234"/>
        <v>2.19</v>
      </c>
      <c r="R194" s="194">
        <f t="shared" si="235"/>
        <v>81.511849327957393</v>
      </c>
      <c r="S194" s="195">
        <f t="shared" si="236"/>
        <v>18.488150672042607</v>
      </c>
      <c r="T194" s="28">
        <f t="shared" si="214"/>
        <v>5284.5925179999995</v>
      </c>
      <c r="Y194" s="67"/>
    </row>
    <row r="195" spans="1:25" customFormat="1" ht="12.75" x14ac:dyDescent="0.2">
      <c r="A195" s="71" t="s">
        <v>445</v>
      </c>
      <c r="B195" s="33"/>
      <c r="C195" s="71" t="s">
        <v>446</v>
      </c>
      <c r="D195" s="72" t="s">
        <v>48</v>
      </c>
      <c r="E195" s="144">
        <v>1</v>
      </c>
      <c r="F195" s="186">
        <v>0.79321918000000002</v>
      </c>
      <c r="G195" s="187">
        <f>G194</f>
        <v>2.1899999999999999E-2</v>
      </c>
      <c r="H195" s="187">
        <f t="shared" si="355"/>
        <v>0.81511918000000005</v>
      </c>
      <c r="I195" s="186">
        <f t="shared" si="356"/>
        <v>0.18488081999999995</v>
      </c>
      <c r="J195" s="75">
        <v>3120</v>
      </c>
      <c r="K195" s="149">
        <f t="shared" si="351"/>
        <v>3809.83</v>
      </c>
      <c r="L195" s="149">
        <f t="shared" si="352"/>
        <v>3809.83</v>
      </c>
      <c r="M195" s="157">
        <f t="shared" si="353"/>
        <v>3022.03</v>
      </c>
      <c r="N195" s="158">
        <f t="shared" si="357"/>
        <v>83.435276999999999</v>
      </c>
      <c r="O195" s="157">
        <f>M195+N195</f>
        <v>3105.4652770000002</v>
      </c>
      <c r="P195" s="157">
        <f t="shared" si="354"/>
        <v>704.36472299999969</v>
      </c>
      <c r="Q195" s="212">
        <f t="shared" si="234"/>
        <v>2.19</v>
      </c>
      <c r="R195" s="194">
        <f t="shared" si="235"/>
        <v>81.511912001322912</v>
      </c>
      <c r="S195" s="195">
        <f t="shared" si="236"/>
        <v>18.488087998677099</v>
      </c>
      <c r="T195" s="28">
        <f t="shared" si="214"/>
        <v>3105.4652770000002</v>
      </c>
      <c r="Y195" s="67"/>
    </row>
    <row r="196" spans="1:25" customFormat="1" ht="12.75" x14ac:dyDescent="0.2">
      <c r="A196" s="106" t="s">
        <v>447</v>
      </c>
      <c r="B196" s="112"/>
      <c r="C196" s="106" t="s">
        <v>448</v>
      </c>
      <c r="D196" s="107"/>
      <c r="E196" s="169" t="s">
        <v>41</v>
      </c>
      <c r="F196" s="176"/>
      <c r="G196" s="176"/>
      <c r="H196" s="176"/>
      <c r="I196" s="176"/>
      <c r="J196" s="108" t="s">
        <v>41</v>
      </c>
      <c r="K196" s="148"/>
      <c r="L196" s="156">
        <f>L197</f>
        <v>13798.4</v>
      </c>
      <c r="M196" s="156">
        <f t="shared" ref="M196:P196" si="358">M197</f>
        <v>6899.2</v>
      </c>
      <c r="N196" s="156">
        <f t="shared" si="358"/>
        <v>0</v>
      </c>
      <c r="O196" s="156">
        <f t="shared" si="358"/>
        <v>6899.2</v>
      </c>
      <c r="P196" s="156">
        <f t="shared" si="358"/>
        <v>6899.2</v>
      </c>
      <c r="Q196" s="196">
        <f t="shared" si="234"/>
        <v>0</v>
      </c>
      <c r="R196" s="196">
        <f t="shared" si="235"/>
        <v>50</v>
      </c>
      <c r="S196" s="193">
        <f t="shared" si="236"/>
        <v>50</v>
      </c>
      <c r="T196" s="28">
        <f t="shared" si="214"/>
        <v>6899.2</v>
      </c>
      <c r="Y196" s="67"/>
    </row>
    <row r="197" spans="1:25" customFormat="1" ht="12.75" x14ac:dyDescent="0.2">
      <c r="A197" s="31" t="s">
        <v>449</v>
      </c>
      <c r="B197" s="31"/>
      <c r="C197" s="31" t="s">
        <v>450</v>
      </c>
      <c r="D197" s="72" t="s">
        <v>202</v>
      </c>
      <c r="E197" s="144">
        <v>1</v>
      </c>
      <c r="F197" s="177">
        <v>0.5</v>
      </c>
      <c r="G197" s="177"/>
      <c r="H197" s="177">
        <f t="shared" si="355"/>
        <v>0.5</v>
      </c>
      <c r="I197" s="144">
        <f>E197-H197</f>
        <v>0.5</v>
      </c>
      <c r="J197" s="75">
        <v>11299.98</v>
      </c>
      <c r="K197" s="149">
        <f>TRUNC(J197*1.2211,2)</f>
        <v>13798.4</v>
      </c>
      <c r="L197" s="149">
        <f>TRUNC(E197*K197,2)</f>
        <v>13798.4</v>
      </c>
      <c r="M197" s="157">
        <f t="shared" ref="M197" si="359">ROUND(F197*$K197,2)</f>
        <v>6899.2</v>
      </c>
      <c r="N197" s="157">
        <f t="shared" ref="N197" si="360">ROUND(G197*$K197,2)</f>
        <v>0</v>
      </c>
      <c r="O197" s="157">
        <f t="shared" ref="O197" si="361">ROUND(H197*$K197,2)</f>
        <v>6899.2</v>
      </c>
      <c r="P197" s="157">
        <f t="shared" si="354"/>
        <v>6899.2</v>
      </c>
      <c r="Q197" s="194">
        <f>N197/L197*100</f>
        <v>0</v>
      </c>
      <c r="R197" s="194">
        <f t="shared" si="235"/>
        <v>50</v>
      </c>
      <c r="S197" s="195">
        <f t="shared" si="236"/>
        <v>50</v>
      </c>
      <c r="T197" s="28">
        <f t="shared" si="214"/>
        <v>6899.2</v>
      </c>
      <c r="U197" s="36">
        <f>N12-N191</f>
        <v>263847.48999999993</v>
      </c>
      <c r="Y197" s="67"/>
    </row>
    <row r="198" spans="1:25" customFormat="1" ht="12.75" x14ac:dyDescent="0.2">
      <c r="A198" s="99" t="s">
        <v>451</v>
      </c>
      <c r="B198" s="98"/>
      <c r="C198" s="93" t="s">
        <v>452</v>
      </c>
      <c r="D198" s="94"/>
      <c r="E198" s="172"/>
      <c r="F198" s="181"/>
      <c r="G198" s="181"/>
      <c r="H198" s="181"/>
      <c r="I198" s="181"/>
      <c r="J198" s="95"/>
      <c r="K198" s="147"/>
      <c r="L198" s="155">
        <f>L199+L203</f>
        <v>2983569.2499999995</v>
      </c>
      <c r="M198" s="155">
        <f t="shared" ref="M198:P198" si="362">M199+M203</f>
        <v>2488832.02</v>
      </c>
      <c r="N198" s="155">
        <f t="shared" si="362"/>
        <v>150568.40999999997</v>
      </c>
      <c r="O198" s="155">
        <f t="shared" si="362"/>
        <v>2639400.4300000002</v>
      </c>
      <c r="P198" s="155">
        <f t="shared" si="362"/>
        <v>344168.81999999972</v>
      </c>
      <c r="Q198" s="204">
        <f t="shared" si="234"/>
        <v>5.0465867349986935</v>
      </c>
      <c r="R198" s="204">
        <f t="shared" si="235"/>
        <v>88.464527176635855</v>
      </c>
      <c r="S198" s="191">
        <f t="shared" si="236"/>
        <v>11.535472823364156</v>
      </c>
      <c r="T198" s="28"/>
      <c r="Y198" s="67"/>
    </row>
    <row r="199" spans="1:25" customFormat="1" ht="12.75" x14ac:dyDescent="0.2">
      <c r="A199" s="106" t="s">
        <v>453</v>
      </c>
      <c r="B199" s="112"/>
      <c r="C199" s="106" t="s">
        <v>454</v>
      </c>
      <c r="D199" s="107"/>
      <c r="E199" s="169"/>
      <c r="F199" s="176"/>
      <c r="G199" s="176"/>
      <c r="H199" s="176"/>
      <c r="I199" s="176"/>
      <c r="J199" s="108"/>
      <c r="K199" s="148"/>
      <c r="L199" s="156">
        <f>SUM(L200:L202)</f>
        <v>2813004.3899999997</v>
      </c>
      <c r="M199" s="156">
        <f t="shared" ref="M199:P199" si="363">SUM(M200:M202)</f>
        <v>2346417.29</v>
      </c>
      <c r="N199" s="156">
        <f t="shared" si="363"/>
        <v>141924.03999999998</v>
      </c>
      <c r="O199" s="156">
        <f t="shared" si="363"/>
        <v>2488341.33</v>
      </c>
      <c r="P199" s="156">
        <f t="shared" si="363"/>
        <v>324663.05999999971</v>
      </c>
      <c r="Q199" s="196">
        <f t="shared" si="234"/>
        <v>5.0452832745134817</v>
      </c>
      <c r="R199" s="196">
        <f t="shared" si="235"/>
        <v>88.458494371564072</v>
      </c>
      <c r="S199" s="196">
        <f t="shared" si="236"/>
        <v>11.541505628435928</v>
      </c>
      <c r="T199" s="28"/>
      <c r="Y199" s="67"/>
    </row>
    <row r="200" spans="1:25" s="61" customFormat="1" ht="25.5" x14ac:dyDescent="0.2">
      <c r="A200" s="71" t="s">
        <v>455</v>
      </c>
      <c r="B200" s="31"/>
      <c r="C200" s="31" t="s">
        <v>456</v>
      </c>
      <c r="D200" s="72" t="s">
        <v>457</v>
      </c>
      <c r="E200" s="145">
        <v>72.91</v>
      </c>
      <c r="F200" s="145">
        <v>70.026806399999984</v>
      </c>
      <c r="G200" s="145"/>
      <c r="H200" s="188">
        <f t="shared" ref="H200:H202" si="364">F200+G200</f>
        <v>70.026806399999984</v>
      </c>
      <c r="I200" s="145">
        <f t="shared" ref="I200:I201" si="365">E200-H200</f>
        <v>2.8831936000000127</v>
      </c>
      <c r="J200" s="62"/>
      <c r="K200" s="150">
        <v>5054.26</v>
      </c>
      <c r="L200" s="150">
        <f>TRUNC(E200*K200,2)</f>
        <v>368506.09</v>
      </c>
      <c r="M200" s="158">
        <f t="shared" ref="M200:O202" si="366">ROUND(F200*$K200,2)</f>
        <v>353933.69</v>
      </c>
      <c r="N200" s="158">
        <f t="shared" si="366"/>
        <v>0</v>
      </c>
      <c r="O200" s="158">
        <f t="shared" si="366"/>
        <v>353933.69</v>
      </c>
      <c r="P200" s="158">
        <f>L200-O200</f>
        <v>14572.400000000023</v>
      </c>
      <c r="Q200" s="197">
        <f t="shared" si="234"/>
        <v>0</v>
      </c>
      <c r="R200" s="197">
        <f t="shared" si="235"/>
        <v>96.045547035599867</v>
      </c>
      <c r="S200" s="198">
        <f t="shared" si="236"/>
        <v>3.9544529644001334</v>
      </c>
      <c r="T200" s="60"/>
      <c r="U200" s="81">
        <f>L207-L192</f>
        <v>12047921.270000001</v>
      </c>
      <c r="Y200" s="80"/>
    </row>
    <row r="201" spans="1:25" customFormat="1" ht="25.5" x14ac:dyDescent="0.2">
      <c r="A201" s="71" t="s">
        <v>458</v>
      </c>
      <c r="B201" s="31"/>
      <c r="C201" s="31" t="s">
        <v>535</v>
      </c>
      <c r="D201" s="72" t="s">
        <v>275</v>
      </c>
      <c r="E201" s="144">
        <v>25406.33</v>
      </c>
      <c r="F201" s="144">
        <v>23109.48</v>
      </c>
      <c r="G201" s="144">
        <f>'AQUISIÇÃO MAT. BETUMINOSOS'!G6</f>
        <v>2296.85</v>
      </c>
      <c r="H201" s="189">
        <f t="shared" si="364"/>
        <v>25406.329999999998</v>
      </c>
      <c r="I201" s="145">
        <f t="shared" si="365"/>
        <v>0</v>
      </c>
      <c r="J201" s="75"/>
      <c r="K201" s="149">
        <v>4.2300000000000004</v>
      </c>
      <c r="L201" s="149">
        <f t="shared" ref="L201:L202" si="367">TRUNC(E201*K201,2)</f>
        <v>107468.77</v>
      </c>
      <c r="M201" s="157">
        <f t="shared" si="366"/>
        <v>97753.1</v>
      </c>
      <c r="N201" s="157">
        <f t="shared" si="366"/>
        <v>9715.68</v>
      </c>
      <c r="O201" s="157">
        <f t="shared" si="366"/>
        <v>107468.78</v>
      </c>
      <c r="P201" s="158">
        <f t="shared" ref="P201:P206" si="368">L201-O201</f>
        <v>-9.9999999947613105E-3</v>
      </c>
      <c r="Q201" s="194">
        <f t="shared" si="234"/>
        <v>9.0404682216052166</v>
      </c>
      <c r="R201" s="194">
        <f t="shared" si="235"/>
        <v>100.0000093050288</v>
      </c>
      <c r="S201" s="195">
        <f t="shared" si="236"/>
        <v>-9.3050287955852771E-6</v>
      </c>
      <c r="T201" s="28"/>
      <c r="Y201" s="67"/>
    </row>
    <row r="202" spans="1:25" s="61" customFormat="1" ht="25.5" x14ac:dyDescent="0.2">
      <c r="A202" s="71" t="s">
        <v>459</v>
      </c>
      <c r="B202" s="31"/>
      <c r="C202" s="31" t="s">
        <v>487</v>
      </c>
      <c r="D202" s="72" t="s">
        <v>457</v>
      </c>
      <c r="E202" s="145">
        <v>456.02</v>
      </c>
      <c r="F202" s="145">
        <v>369.71505359999992</v>
      </c>
      <c r="G202" s="145">
        <f>'AQUISIÇÃO MAT. BETUMINOSOS'!G7</f>
        <v>25.797559200000002</v>
      </c>
      <c r="H202" s="188">
        <f t="shared" si="364"/>
        <v>395.51261279999994</v>
      </c>
      <c r="I202" s="145">
        <f>E202-H202</f>
        <v>60.507387200000039</v>
      </c>
      <c r="J202" s="62"/>
      <c r="K202" s="150">
        <v>5124.84</v>
      </c>
      <c r="L202" s="150">
        <f t="shared" si="367"/>
        <v>2337029.5299999998</v>
      </c>
      <c r="M202" s="158">
        <f t="shared" si="366"/>
        <v>1894730.5</v>
      </c>
      <c r="N202" s="158">
        <f t="shared" si="366"/>
        <v>132208.35999999999</v>
      </c>
      <c r="O202" s="158">
        <f t="shared" si="366"/>
        <v>2026938.86</v>
      </c>
      <c r="P202" s="158">
        <f t="shared" si="368"/>
        <v>310090.66999999969</v>
      </c>
      <c r="Q202" s="197">
        <f t="shared" si="234"/>
        <v>5.6571112304259161</v>
      </c>
      <c r="R202" s="197">
        <f t="shared" si="235"/>
        <v>86.731418408735308</v>
      </c>
      <c r="S202" s="198">
        <f t="shared" si="236"/>
        <v>13.268581591264692</v>
      </c>
      <c r="T202" s="60"/>
      <c r="Y202" s="80"/>
    </row>
    <row r="203" spans="1:25" customFormat="1" ht="12.75" x14ac:dyDescent="0.2">
      <c r="A203" s="106" t="s">
        <v>460</v>
      </c>
      <c r="B203" s="112"/>
      <c r="C203" s="106" t="s">
        <v>461</v>
      </c>
      <c r="D203" s="107"/>
      <c r="E203" s="169"/>
      <c r="F203" s="176"/>
      <c r="G203" s="176"/>
      <c r="H203" s="176"/>
      <c r="I203" s="176"/>
      <c r="J203" s="108"/>
      <c r="K203" s="148"/>
      <c r="L203" s="156">
        <f>SUM(L204:L206)</f>
        <v>170564.86000000002</v>
      </c>
      <c r="M203" s="156">
        <f t="shared" ref="M203:P203" si="369">SUM(M204:M206)</f>
        <v>142414.72999999998</v>
      </c>
      <c r="N203" s="156">
        <f t="shared" si="369"/>
        <v>8644.369999999999</v>
      </c>
      <c r="O203" s="156">
        <f t="shared" si="369"/>
        <v>151059.1</v>
      </c>
      <c r="P203" s="156">
        <f t="shared" si="369"/>
        <v>19505.760000000009</v>
      </c>
      <c r="Q203" s="196">
        <f t="shared" si="234"/>
        <v>5.0680837776315695</v>
      </c>
      <c r="R203" s="196">
        <f t="shared" si="235"/>
        <v>88.564021921045168</v>
      </c>
      <c r="S203" s="196">
        <f t="shared" si="236"/>
        <v>11.435978078954838</v>
      </c>
      <c r="T203" s="28"/>
      <c r="Y203" s="67"/>
    </row>
    <row r="204" spans="1:25" s="61" customFormat="1" ht="12.75" x14ac:dyDescent="0.2">
      <c r="A204" s="31" t="s">
        <v>462</v>
      </c>
      <c r="B204" s="31"/>
      <c r="C204" s="31" t="s">
        <v>463</v>
      </c>
      <c r="D204" s="72" t="s">
        <v>457</v>
      </c>
      <c r="E204" s="145">
        <v>72.91</v>
      </c>
      <c r="F204" s="145">
        <v>70.026806399999984</v>
      </c>
      <c r="G204" s="145"/>
      <c r="H204" s="188">
        <f t="shared" ref="H204" si="370">F204+G204</f>
        <v>70.026806399999984</v>
      </c>
      <c r="I204" s="145">
        <f t="shared" ref="I204:I206" si="371">E204-H204</f>
        <v>2.8831936000000127</v>
      </c>
      <c r="J204" s="62"/>
      <c r="K204" s="150">
        <v>307.69</v>
      </c>
      <c r="L204" s="150">
        <f t="shared" ref="L204" si="372">TRUNC(E204*K204,2)</f>
        <v>22433.67</v>
      </c>
      <c r="M204" s="158">
        <f t="shared" ref="M204" si="373">ROUND(F204*$K204,2)</f>
        <v>21546.55</v>
      </c>
      <c r="N204" s="158">
        <f t="shared" ref="N204" si="374">ROUND(G204*$K204,2)</f>
        <v>0</v>
      </c>
      <c r="O204" s="158">
        <f t="shared" ref="O204" si="375">ROUND(H204*$K204,2)</f>
        <v>21546.55</v>
      </c>
      <c r="P204" s="158">
        <f t="shared" si="368"/>
        <v>887.11999999999898</v>
      </c>
      <c r="Q204" s="197">
        <f t="shared" si="234"/>
        <v>0</v>
      </c>
      <c r="R204" s="197">
        <f t="shared" si="235"/>
        <v>96.045586834432356</v>
      </c>
      <c r="S204" s="198">
        <f t="shared" si="236"/>
        <v>3.9544131655676447</v>
      </c>
      <c r="T204" s="60"/>
      <c r="Y204" s="80"/>
    </row>
    <row r="205" spans="1:25" customFormat="1" ht="12.75" x14ac:dyDescent="0.2">
      <c r="A205" s="31" t="s">
        <v>464</v>
      </c>
      <c r="B205" s="31"/>
      <c r="C205" s="31" t="s">
        <v>465</v>
      </c>
      <c r="D205" s="72" t="s">
        <v>457</v>
      </c>
      <c r="E205" s="144">
        <v>25.41</v>
      </c>
      <c r="F205" s="144">
        <v>23.109480000000001</v>
      </c>
      <c r="G205" s="144">
        <f>G201/1000</f>
        <v>2.2968500000000001</v>
      </c>
      <c r="H205" s="189">
        <f t="shared" ref="H205:H206" si="376">F205+G205</f>
        <v>25.406330000000001</v>
      </c>
      <c r="I205" s="145">
        <f t="shared" si="371"/>
        <v>3.669999999999618E-3</v>
      </c>
      <c r="J205" s="75"/>
      <c r="K205" s="149">
        <v>307.69</v>
      </c>
      <c r="L205" s="149">
        <f t="shared" ref="L205:L206" si="377">TRUNC(E205*K205,2)</f>
        <v>7818.4</v>
      </c>
      <c r="M205" s="157">
        <f t="shared" ref="M205:M206" si="378">ROUND(F205*$K205,2)</f>
        <v>7110.56</v>
      </c>
      <c r="N205" s="157">
        <f t="shared" ref="N205:N206" si="379">ROUND(G205*$K205,2)</f>
        <v>706.72</v>
      </c>
      <c r="O205" s="157">
        <f t="shared" ref="O205:O206" si="380">ROUND(H205*$K205,2)</f>
        <v>7817.27</v>
      </c>
      <c r="P205" s="158">
        <f t="shared" si="368"/>
        <v>1.1299999999991996</v>
      </c>
      <c r="Q205" s="194">
        <f t="shared" si="234"/>
        <v>9.0391896040110513</v>
      </c>
      <c r="R205" s="194">
        <f t="shared" si="235"/>
        <v>99.985546914969831</v>
      </c>
      <c r="S205" s="195">
        <f t="shared" si="236"/>
        <v>1.4453085030174969E-2</v>
      </c>
      <c r="T205" s="28"/>
      <c r="Y205" s="67"/>
    </row>
    <row r="206" spans="1:25" s="61" customFormat="1" ht="12.75" x14ac:dyDescent="0.2">
      <c r="A206" s="31" t="s">
        <v>466</v>
      </c>
      <c r="B206" s="31"/>
      <c r="C206" s="31" t="s">
        <v>467</v>
      </c>
      <c r="D206" s="72" t="s">
        <v>457</v>
      </c>
      <c r="E206" s="145">
        <v>456.02</v>
      </c>
      <c r="F206" s="145">
        <v>369.71505359999992</v>
      </c>
      <c r="G206" s="145">
        <f>'AQUISIÇÃO MAT. BETUMINOSOS'!G7</f>
        <v>25.797559200000002</v>
      </c>
      <c r="H206" s="188">
        <f t="shared" si="376"/>
        <v>395.51261279999994</v>
      </c>
      <c r="I206" s="145">
        <f t="shared" si="371"/>
        <v>60.507387200000039</v>
      </c>
      <c r="J206" s="62"/>
      <c r="K206" s="150">
        <v>307.69</v>
      </c>
      <c r="L206" s="150">
        <f t="shared" si="377"/>
        <v>140312.79</v>
      </c>
      <c r="M206" s="158">
        <f t="shared" si="378"/>
        <v>113757.62</v>
      </c>
      <c r="N206" s="158">
        <f t="shared" si="379"/>
        <v>7937.65</v>
      </c>
      <c r="O206" s="158">
        <f t="shared" si="380"/>
        <v>121695.28</v>
      </c>
      <c r="P206" s="158">
        <f t="shared" si="368"/>
        <v>18617.510000000009</v>
      </c>
      <c r="Q206" s="197">
        <f t="shared" si="234"/>
        <v>5.6571108022297887</v>
      </c>
      <c r="R206" s="197">
        <f t="shared" si="235"/>
        <v>86.731423414786349</v>
      </c>
      <c r="S206" s="198">
        <f t="shared" si="236"/>
        <v>13.268576585213657</v>
      </c>
      <c r="T206" s="60"/>
      <c r="Y206" s="80"/>
    </row>
    <row r="207" spans="1:25" s="6" customFormat="1" ht="12.75" x14ac:dyDescent="0.2">
      <c r="A207" s="283"/>
      <c r="B207" s="284"/>
      <c r="C207" s="280" t="s">
        <v>20</v>
      </c>
      <c r="D207" s="281"/>
      <c r="E207" s="281"/>
      <c r="F207" s="281"/>
      <c r="G207" s="281"/>
      <c r="H207" s="281"/>
      <c r="I207" s="281"/>
      <c r="J207" s="281"/>
      <c r="K207" s="282"/>
      <c r="L207" s="167">
        <f>L13+L23+L49+L61+L126+L159+L174+L191+L198</f>
        <v>12288206.060000001</v>
      </c>
      <c r="M207" s="167">
        <f t="shared" ref="M207:P207" si="381">M13+M23+M49+M61+M126+M159+M174+M191+M198</f>
        <v>9753118.2600000016</v>
      </c>
      <c r="N207" s="167">
        <f>N13+N23+N49+N61+N126+N159+N174+N191+N198</f>
        <v>269109.72690099996</v>
      </c>
      <c r="O207" s="167">
        <f>O13+O23+O49+O61+O126+O159+O174+O191+O198</f>
        <v>10022227.966901001</v>
      </c>
      <c r="P207" s="167">
        <f t="shared" si="381"/>
        <v>2265978.0930989999</v>
      </c>
      <c r="Q207" s="213">
        <f t="shared" si="234"/>
        <v>2.1899838396834301</v>
      </c>
      <c r="R207" s="214">
        <f t="shared" si="235"/>
        <v>81.559732299126182</v>
      </c>
      <c r="S207" s="214">
        <f t="shared" si="236"/>
        <v>18.440267700873825</v>
      </c>
      <c r="T207" s="28">
        <f t="shared" si="214"/>
        <v>10022227.966901001</v>
      </c>
      <c r="Y207" s="67"/>
    </row>
    <row r="208" spans="1:25" ht="18" customHeight="1" x14ac:dyDescent="0.2">
      <c r="A208" s="277"/>
      <c r="B208" s="278"/>
      <c r="C208" s="278"/>
      <c r="D208" s="278"/>
      <c r="E208" s="278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9"/>
    </row>
    <row r="213" spans="10:10" ht="12.75" x14ac:dyDescent="0.2">
      <c r="J213" s="5"/>
    </row>
  </sheetData>
  <mergeCells count="15">
    <mergeCell ref="Q10:S10"/>
    <mergeCell ref="A10:A11"/>
    <mergeCell ref="U10:V10"/>
    <mergeCell ref="A208:S208"/>
    <mergeCell ref="A2:C3"/>
    <mergeCell ref="A7:S7"/>
    <mergeCell ref="C207:K207"/>
    <mergeCell ref="A5:J5"/>
    <mergeCell ref="A207:B207"/>
    <mergeCell ref="E10:I10"/>
    <mergeCell ref="D10:D11"/>
    <mergeCell ref="K10:K11"/>
    <mergeCell ref="C10:C11"/>
    <mergeCell ref="B10:B11"/>
    <mergeCell ref="L10:P10"/>
  </mergeCells>
  <phoneticPr fontId="11" type="noConversion"/>
  <conditionalFormatting sqref="I13:I206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78740157480314965" header="0.31496062992125984" footer="0.31496062992125984"/>
  <pageSetup paperSize="9" scale="38" fitToHeight="18" orientation="landscape" r:id="rId1"/>
  <rowBreaks count="3" manualBreakCount="3">
    <brk id="60" max="18" man="1"/>
    <brk id="103" max="18" man="1"/>
    <brk id="156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E7A9-720B-4162-8B20-DE160E4E6A44}">
  <sheetPr>
    <tabColor rgb="FF00B050"/>
  </sheetPr>
  <dimension ref="A1:M21"/>
  <sheetViews>
    <sheetView view="pageBreakPreview" zoomScale="85" zoomScaleNormal="70" zoomScaleSheetLayoutView="85" workbookViewId="0">
      <selection activeCell="L17" sqref="L17"/>
    </sheetView>
  </sheetViews>
  <sheetFormatPr defaultRowHeight="12.75" x14ac:dyDescent="0.2"/>
  <cols>
    <col min="1" max="1" width="43" style="230" customWidth="1"/>
    <col min="2" max="2" width="15.33203125" style="230" customWidth="1"/>
    <col min="3" max="3" width="15" style="230" customWidth="1"/>
    <col min="4" max="4" width="20.83203125" style="230" bestFit="1" customWidth="1"/>
    <col min="5" max="5" width="19.6640625" style="230" bestFit="1" customWidth="1"/>
    <col min="6" max="6" width="23" style="230" bestFit="1" customWidth="1"/>
    <col min="7" max="7" width="15.33203125" style="230" bestFit="1" customWidth="1"/>
    <col min="8" max="8" width="19.1640625" style="230" bestFit="1" customWidth="1"/>
    <col min="9" max="9" width="14.1640625" style="230" bestFit="1" customWidth="1"/>
    <col min="10" max="10" width="19.5" style="230" customWidth="1"/>
    <col min="11" max="11" width="18.1640625" style="230" customWidth="1"/>
    <col min="12" max="12" width="17.5" style="230" customWidth="1"/>
    <col min="13" max="13" width="8.1640625" style="230" customWidth="1"/>
    <col min="14" max="16384" width="9.33203125" style="230"/>
  </cols>
  <sheetData>
    <row r="1" spans="1:13" ht="18" x14ac:dyDescent="0.2">
      <c r="A1" s="288" t="s">
        <v>570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 ht="18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3" ht="18" x14ac:dyDescent="0.2">
      <c r="A3" s="289" t="s">
        <v>299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1:13" x14ac:dyDescent="0.2">
      <c r="A4" s="290" t="s">
        <v>515</v>
      </c>
      <c r="B4" s="291" t="s">
        <v>503</v>
      </c>
      <c r="C4" s="291"/>
      <c r="D4" s="290" t="s">
        <v>516</v>
      </c>
      <c r="E4" s="290" t="s">
        <v>517</v>
      </c>
      <c r="F4" s="290" t="s">
        <v>518</v>
      </c>
      <c r="G4" s="290" t="s">
        <v>519</v>
      </c>
      <c r="H4" s="290" t="s">
        <v>520</v>
      </c>
      <c r="I4" s="290" t="s">
        <v>521</v>
      </c>
      <c r="J4" s="292" t="s">
        <v>542</v>
      </c>
      <c r="K4" s="292" t="s">
        <v>541</v>
      </c>
      <c r="L4" s="290" t="s">
        <v>26</v>
      </c>
      <c r="M4" s="290" t="s">
        <v>504</v>
      </c>
    </row>
    <row r="5" spans="1:13" ht="26.25" customHeight="1" x14ac:dyDescent="0.2">
      <c r="A5" s="290"/>
      <c r="B5" s="290" t="s">
        <v>477</v>
      </c>
      <c r="C5" s="290"/>
      <c r="D5" s="290"/>
      <c r="E5" s="290"/>
      <c r="F5" s="290"/>
      <c r="G5" s="290"/>
      <c r="H5" s="290"/>
      <c r="I5" s="290"/>
      <c r="J5" s="292"/>
      <c r="K5" s="292"/>
      <c r="L5" s="290"/>
      <c r="M5" s="290"/>
    </row>
    <row r="6" spans="1:13" x14ac:dyDescent="0.2">
      <c r="A6" s="290"/>
      <c r="B6" s="233" t="s">
        <v>522</v>
      </c>
      <c r="C6" s="233" t="s">
        <v>523</v>
      </c>
      <c r="D6" s="290"/>
      <c r="E6" s="290"/>
      <c r="F6" s="290"/>
      <c r="G6" s="290"/>
      <c r="H6" s="290"/>
      <c r="I6" s="290"/>
      <c r="J6" s="292"/>
      <c r="K6" s="292"/>
      <c r="L6" s="290"/>
      <c r="M6" s="290"/>
    </row>
    <row r="7" spans="1:13" x14ac:dyDescent="0.2">
      <c r="A7" s="235" t="s">
        <v>335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7"/>
      <c r="M7" s="238"/>
    </row>
    <row r="8" spans="1:13" x14ac:dyDescent="0.2">
      <c r="A8" s="235" t="s">
        <v>341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7"/>
      <c r="M8" s="238"/>
    </row>
    <row r="9" spans="1:13" ht="17.25" customHeight="1" x14ac:dyDescent="0.2">
      <c r="A9" s="295" t="s">
        <v>489</v>
      </c>
      <c r="B9" s="293" t="s">
        <v>571</v>
      </c>
      <c r="C9" s="294"/>
      <c r="D9" s="73" t="s">
        <v>524</v>
      </c>
      <c r="E9" s="73" t="s">
        <v>524</v>
      </c>
      <c r="F9" s="73" t="s">
        <v>524</v>
      </c>
      <c r="G9" s="239">
        <v>1320.44</v>
      </c>
      <c r="H9" s="239" t="s">
        <v>524</v>
      </c>
      <c r="I9" s="73" t="s">
        <v>524</v>
      </c>
      <c r="J9" s="73" t="s">
        <v>524</v>
      </c>
      <c r="K9" s="73" t="s">
        <v>524</v>
      </c>
      <c r="L9" s="239" t="s">
        <v>524</v>
      </c>
      <c r="M9" s="239" t="s">
        <v>524</v>
      </c>
    </row>
    <row r="10" spans="1:13" ht="17.25" customHeight="1" x14ac:dyDescent="0.2">
      <c r="A10" s="296"/>
      <c r="B10" s="65" t="s">
        <v>525</v>
      </c>
      <c r="C10" s="65" t="s">
        <v>526</v>
      </c>
      <c r="D10" s="73">
        <v>220</v>
      </c>
      <c r="E10" s="73">
        <v>8</v>
      </c>
      <c r="F10" s="73" t="s">
        <v>524</v>
      </c>
      <c r="G10" s="239">
        <f>D10*E10</f>
        <v>1760</v>
      </c>
      <c r="H10" s="239" t="s">
        <v>524</v>
      </c>
      <c r="I10" s="73" t="s">
        <v>524</v>
      </c>
      <c r="J10" s="73" t="s">
        <v>524</v>
      </c>
      <c r="K10" s="73" t="s">
        <v>524</v>
      </c>
      <c r="L10" s="239" t="s">
        <v>524</v>
      </c>
      <c r="M10" s="239" t="s">
        <v>524</v>
      </c>
    </row>
    <row r="11" spans="1:13" ht="17.25" customHeight="1" x14ac:dyDescent="0.2">
      <c r="A11" s="296"/>
      <c r="B11" s="65" t="s">
        <v>573</v>
      </c>
      <c r="C11" s="65" t="s">
        <v>572</v>
      </c>
      <c r="D11" s="73">
        <v>629</v>
      </c>
      <c r="E11" s="73">
        <v>8</v>
      </c>
      <c r="F11" s="73" t="s">
        <v>524</v>
      </c>
      <c r="G11" s="239">
        <f>D11*E11</f>
        <v>5032</v>
      </c>
      <c r="H11" s="239" t="s">
        <v>524</v>
      </c>
      <c r="I11" s="73" t="s">
        <v>524</v>
      </c>
      <c r="J11" s="73" t="s">
        <v>524</v>
      </c>
      <c r="K11" s="73" t="s">
        <v>524</v>
      </c>
      <c r="L11" s="239" t="s">
        <v>524</v>
      </c>
      <c r="M11" s="239" t="s">
        <v>524</v>
      </c>
    </row>
    <row r="12" spans="1:13" ht="17.25" customHeight="1" x14ac:dyDescent="0.2">
      <c r="A12" s="297"/>
      <c r="B12" s="298" t="s">
        <v>527</v>
      </c>
      <c r="C12" s="299"/>
      <c r="D12" s="299"/>
      <c r="E12" s="299"/>
      <c r="F12" s="299"/>
      <c r="G12" s="299"/>
      <c r="H12" s="299"/>
      <c r="I12" s="299"/>
      <c r="J12" s="299"/>
      <c r="K12" s="300"/>
      <c r="L12" s="239">
        <f>SUM(G9:G11)</f>
        <v>8112.4400000000005</v>
      </c>
      <c r="M12" s="239" t="s">
        <v>38</v>
      </c>
    </row>
    <row r="13" spans="1:13" x14ac:dyDescent="0.2">
      <c r="A13" s="235" t="s">
        <v>528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7"/>
      <c r="M13" s="238"/>
    </row>
    <row r="14" spans="1:13" ht="17.25" customHeight="1" x14ac:dyDescent="0.2">
      <c r="A14" s="295" t="s">
        <v>529</v>
      </c>
      <c r="B14" s="293" t="s">
        <v>571</v>
      </c>
      <c r="C14" s="294"/>
      <c r="D14" s="73" t="s">
        <v>524</v>
      </c>
      <c r="E14" s="73" t="s">
        <v>524</v>
      </c>
      <c r="F14" s="241">
        <v>2.5000000000000001E-2</v>
      </c>
      <c r="G14" s="239">
        <v>1320.44</v>
      </c>
      <c r="H14" s="239">
        <f>F14*G14</f>
        <v>33.011000000000003</v>
      </c>
      <c r="I14" s="73" t="s">
        <v>524</v>
      </c>
      <c r="J14" s="73" t="s">
        <v>524</v>
      </c>
      <c r="K14" s="73" t="s">
        <v>524</v>
      </c>
      <c r="L14" s="239" t="s">
        <v>524</v>
      </c>
      <c r="M14" s="239" t="s">
        <v>524</v>
      </c>
    </row>
    <row r="15" spans="1:13" ht="17.25" customHeight="1" x14ac:dyDescent="0.2">
      <c r="A15" s="296"/>
      <c r="B15" s="65" t="s">
        <v>525</v>
      </c>
      <c r="C15" s="65" t="s">
        <v>526</v>
      </c>
      <c r="D15" s="73">
        <v>220</v>
      </c>
      <c r="E15" s="73">
        <v>8</v>
      </c>
      <c r="F15" s="241">
        <v>2.5000000000000001E-2</v>
      </c>
      <c r="G15" s="239">
        <f>D15*E15</f>
        <v>1760</v>
      </c>
      <c r="H15" s="239">
        <f>D15*E15*F15</f>
        <v>44</v>
      </c>
      <c r="I15" s="73" t="s">
        <v>524</v>
      </c>
      <c r="J15" s="73" t="s">
        <v>524</v>
      </c>
      <c r="K15" s="73" t="s">
        <v>524</v>
      </c>
      <c r="L15" s="239" t="s">
        <v>524</v>
      </c>
      <c r="M15" s="239" t="s">
        <v>524</v>
      </c>
    </row>
    <row r="16" spans="1:13" ht="17.25" customHeight="1" x14ac:dyDescent="0.2">
      <c r="A16" s="296"/>
      <c r="B16" s="65" t="s">
        <v>573</v>
      </c>
      <c r="C16" s="65" t="s">
        <v>572</v>
      </c>
      <c r="D16" s="73">
        <v>629</v>
      </c>
      <c r="E16" s="73">
        <v>8</v>
      </c>
      <c r="F16" s="241">
        <v>2.5000000000000001E-2</v>
      </c>
      <c r="G16" s="239">
        <f>D16*E16</f>
        <v>5032</v>
      </c>
      <c r="H16" s="239">
        <f>D16*E16*F16</f>
        <v>125.80000000000001</v>
      </c>
      <c r="I16" s="73" t="s">
        <v>524</v>
      </c>
      <c r="J16" s="73" t="s">
        <v>524</v>
      </c>
      <c r="K16" s="73" t="s">
        <v>524</v>
      </c>
      <c r="L16" s="239" t="s">
        <v>524</v>
      </c>
      <c r="M16" s="239" t="s">
        <v>524</v>
      </c>
    </row>
    <row r="17" spans="1:13" ht="17.25" customHeight="1" x14ac:dyDescent="0.2">
      <c r="A17" s="297"/>
      <c r="B17" s="298" t="s">
        <v>527</v>
      </c>
      <c r="C17" s="299"/>
      <c r="D17" s="299"/>
      <c r="E17" s="299"/>
      <c r="F17" s="299"/>
      <c r="G17" s="299"/>
      <c r="H17" s="299"/>
      <c r="I17" s="299"/>
      <c r="J17" s="299"/>
      <c r="K17" s="300"/>
      <c r="L17" s="239">
        <f>SUM(H14:H16)</f>
        <v>202.81100000000001</v>
      </c>
      <c r="M17" s="239" t="s">
        <v>71</v>
      </c>
    </row>
    <row r="18" spans="1:13" ht="26.25" customHeight="1" x14ac:dyDescent="0.2">
      <c r="A18" s="240" t="s">
        <v>530</v>
      </c>
      <c r="B18" s="293" t="s">
        <v>531</v>
      </c>
      <c r="C18" s="301"/>
      <c r="D18" s="301"/>
      <c r="E18" s="301"/>
      <c r="F18" s="301"/>
      <c r="G18" s="301"/>
      <c r="H18" s="301"/>
      <c r="I18" s="301"/>
      <c r="J18" s="301"/>
      <c r="K18" s="294"/>
      <c r="L18" s="239">
        <f>L17*1.25</f>
        <v>253.51375000000002</v>
      </c>
      <c r="M18" s="239" t="s">
        <v>71</v>
      </c>
    </row>
    <row r="19" spans="1:13" ht="4.5" customHeight="1" x14ac:dyDescent="0.2"/>
    <row r="20" spans="1:13" x14ac:dyDescent="0.2">
      <c r="A20" s="242"/>
    </row>
    <row r="21" spans="1:13" x14ac:dyDescent="0.2">
      <c r="A21" s="242"/>
    </row>
  </sheetData>
  <mergeCells count="22">
    <mergeCell ref="B14:C14"/>
    <mergeCell ref="A14:A17"/>
    <mergeCell ref="B17:K17"/>
    <mergeCell ref="B18:K18"/>
    <mergeCell ref="A9:A12"/>
    <mergeCell ref="B12:K12"/>
    <mergeCell ref="B9:C9"/>
    <mergeCell ref="A1:M1"/>
    <mergeCell ref="A3:M3"/>
    <mergeCell ref="A4:A6"/>
    <mergeCell ref="B4:C4"/>
    <mergeCell ref="D4:D6"/>
    <mergeCell ref="E4:E6"/>
    <mergeCell ref="F4:F6"/>
    <mergeCell ref="G4:G6"/>
    <mergeCell ref="H4:H6"/>
    <mergeCell ref="B5:C5"/>
    <mergeCell ref="I4:I6"/>
    <mergeCell ref="J4:J6"/>
    <mergeCell ref="K4:K6"/>
    <mergeCell ref="L4:L6"/>
    <mergeCell ref="M4:M6"/>
  </mergeCells>
  <pageMargins left="0.9055118110236221" right="0.51181102362204722" top="1.1811023622047245" bottom="0.78740157480314965" header="0.31496062992125984" footer="0.31496062992125984"/>
  <pageSetup paperSize="9" scale="58" orientation="landscape" horizontalDpi="4294967293" verticalDpi="300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04B9-35CD-4D51-8719-1AAC24A1AF64}">
  <sheetPr>
    <tabColor rgb="FF00B050"/>
  </sheetPr>
  <dimension ref="A1:H10"/>
  <sheetViews>
    <sheetView view="pageBreakPreview" zoomScaleNormal="70" zoomScaleSheetLayoutView="100" workbookViewId="0">
      <selection activeCell="G7" sqref="G7"/>
    </sheetView>
  </sheetViews>
  <sheetFormatPr defaultRowHeight="12.75" x14ac:dyDescent="0.2"/>
  <cols>
    <col min="1" max="1" width="43" style="230" customWidth="1"/>
    <col min="2" max="2" width="18.83203125" style="230" bestFit="1" customWidth="1"/>
    <col min="3" max="3" width="13.33203125" style="230" customWidth="1"/>
    <col min="4" max="4" width="15.6640625" style="230" bestFit="1" customWidth="1"/>
    <col min="5" max="5" width="15" style="230" customWidth="1"/>
    <col min="6" max="6" width="14.5" style="230" bestFit="1" customWidth="1"/>
    <col min="7" max="7" width="15.33203125" style="230" bestFit="1" customWidth="1"/>
    <col min="8" max="8" width="5.6640625" style="230" bestFit="1" customWidth="1"/>
    <col min="9" max="16384" width="9.33203125" style="230"/>
  </cols>
  <sheetData>
    <row r="1" spans="1:8" ht="18" x14ac:dyDescent="0.2">
      <c r="A1" s="288" t="s">
        <v>570</v>
      </c>
      <c r="B1" s="288"/>
      <c r="C1" s="288"/>
      <c r="D1" s="288"/>
      <c r="E1" s="288"/>
      <c r="F1" s="288"/>
      <c r="G1" s="288"/>
      <c r="H1" s="288"/>
    </row>
    <row r="2" spans="1:8" ht="18" x14ac:dyDescent="0.2">
      <c r="A2" s="231"/>
      <c r="B2" s="231"/>
      <c r="C2" s="231"/>
      <c r="D2" s="231"/>
      <c r="E2" s="231"/>
      <c r="F2" s="231"/>
      <c r="G2" s="231"/>
      <c r="H2" s="231"/>
    </row>
    <row r="3" spans="1:8" ht="18" x14ac:dyDescent="0.2">
      <c r="A3" s="289" t="s">
        <v>452</v>
      </c>
      <c r="B3" s="289"/>
      <c r="C3" s="289"/>
      <c r="D3" s="289"/>
      <c r="E3" s="289"/>
      <c r="F3" s="289"/>
      <c r="G3" s="289"/>
      <c r="H3" s="289"/>
    </row>
    <row r="4" spans="1:8" ht="30" customHeight="1" x14ac:dyDescent="0.2">
      <c r="A4" s="232" t="s">
        <v>515</v>
      </c>
      <c r="B4" s="232" t="s">
        <v>539</v>
      </c>
      <c r="C4" s="232" t="s">
        <v>519</v>
      </c>
      <c r="D4" s="232" t="s">
        <v>520</v>
      </c>
      <c r="E4" s="234" t="s">
        <v>533</v>
      </c>
      <c r="F4" s="232" t="s">
        <v>504</v>
      </c>
      <c r="G4" s="232" t="s">
        <v>26</v>
      </c>
      <c r="H4" s="232" t="s">
        <v>504</v>
      </c>
    </row>
    <row r="5" spans="1:8" x14ac:dyDescent="0.2">
      <c r="A5" s="235" t="s">
        <v>532</v>
      </c>
      <c r="B5" s="236"/>
      <c r="C5" s="236"/>
      <c r="D5" s="236"/>
      <c r="E5" s="236"/>
      <c r="F5" s="238"/>
      <c r="G5" s="237"/>
      <c r="H5" s="238"/>
    </row>
    <row r="6" spans="1:8" ht="26.25" customHeight="1" x14ac:dyDescent="0.2">
      <c r="A6" s="240" t="s">
        <v>536</v>
      </c>
      <c r="B6" s="65" t="s">
        <v>537</v>
      </c>
      <c r="C6" s="239">
        <v>4593.7</v>
      </c>
      <c r="D6" s="65" t="s">
        <v>524</v>
      </c>
      <c r="E6" s="73">
        <v>0.5</v>
      </c>
      <c r="F6" s="239" t="s">
        <v>534</v>
      </c>
      <c r="G6" s="239">
        <f>C6*E6*1</f>
        <v>2296.85</v>
      </c>
      <c r="H6" s="239" t="s">
        <v>275</v>
      </c>
    </row>
    <row r="7" spans="1:8" ht="27.75" customHeight="1" x14ac:dyDescent="0.2">
      <c r="A7" s="240" t="s">
        <v>540</v>
      </c>
      <c r="B7" s="239" t="s">
        <v>528</v>
      </c>
      <c r="C7" s="239" t="s">
        <v>524</v>
      </c>
      <c r="D7" s="239">
        <f>'PAVIMENTAÇÃO '!L17</f>
        <v>202.81100000000001</v>
      </c>
      <c r="E7" s="241">
        <v>5.2999999999999999E-2</v>
      </c>
      <c r="F7" s="239" t="s">
        <v>538</v>
      </c>
      <c r="G7" s="239">
        <f>D7*E7*2.4</f>
        <v>25.797559200000002</v>
      </c>
      <c r="H7" s="239" t="s">
        <v>457</v>
      </c>
    </row>
    <row r="8" spans="1:8" ht="4.5" customHeight="1" x14ac:dyDescent="0.2"/>
    <row r="9" spans="1:8" x14ac:dyDescent="0.2">
      <c r="A9" s="242"/>
    </row>
    <row r="10" spans="1:8" x14ac:dyDescent="0.2">
      <c r="A10" s="242"/>
    </row>
  </sheetData>
  <mergeCells count="2">
    <mergeCell ref="A1:H1"/>
    <mergeCell ref="A3:H3"/>
  </mergeCells>
  <phoneticPr fontId="11" type="noConversion"/>
  <pageMargins left="1.299212598425197" right="0.51181102362204722" top="1.5748031496062993" bottom="0.78740157480314965" header="0.31496062992125984" footer="0.31496062992125984"/>
  <pageSetup paperSize="9" scale="90" orientation="landscape" horizontalDpi="4294967293" verticalDpi="300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3FED-2693-4C65-9831-06294ED1D2E8}">
  <sheetPr>
    <tabColor rgb="FFFF0000"/>
  </sheetPr>
  <dimension ref="A1:F21"/>
  <sheetViews>
    <sheetView view="pageBreakPreview" zoomScaleNormal="100" zoomScaleSheetLayoutView="100" workbookViewId="0">
      <selection activeCell="E24" sqref="E24"/>
    </sheetView>
  </sheetViews>
  <sheetFormatPr defaultColWidth="8.83203125" defaultRowHeight="12.75" x14ac:dyDescent="0.2"/>
  <cols>
    <col min="1" max="1" width="7.83203125" style="64" bestFit="1" customWidth="1"/>
    <col min="2" max="2" width="5" style="64" customWidth="1"/>
    <col min="3" max="3" width="7.83203125" style="64" bestFit="1" customWidth="1"/>
    <col min="4" max="5" width="20.1640625" style="64" customWidth="1"/>
    <col min="6" max="6" width="53.5" style="64" bestFit="1" customWidth="1"/>
    <col min="7" max="16384" width="8.83203125" style="64"/>
  </cols>
  <sheetData>
    <row r="1" spans="1:6" ht="18.75" x14ac:dyDescent="0.3">
      <c r="A1" s="309" t="s">
        <v>547</v>
      </c>
      <c r="B1" s="309"/>
      <c r="C1" s="309"/>
      <c r="D1" s="309"/>
      <c r="E1" s="309"/>
      <c r="F1" s="309"/>
    </row>
    <row r="2" spans="1:6" ht="15.75" x14ac:dyDescent="0.2">
      <c r="A2" s="310" t="s">
        <v>157</v>
      </c>
      <c r="B2" s="311"/>
      <c r="C2" s="311"/>
      <c r="D2" s="311"/>
      <c r="E2" s="311"/>
      <c r="F2" s="312"/>
    </row>
    <row r="3" spans="1:6" ht="4.5" customHeight="1" x14ac:dyDescent="0.2">
      <c r="A3" s="244"/>
      <c r="B3" s="245"/>
      <c r="C3" s="244"/>
      <c r="D3" s="246"/>
      <c r="E3" s="247"/>
      <c r="F3" s="246"/>
    </row>
    <row r="4" spans="1:6" ht="15.75" x14ac:dyDescent="0.2">
      <c r="A4" s="302" t="s">
        <v>561</v>
      </c>
      <c r="B4" s="303"/>
      <c r="C4" s="303"/>
      <c r="D4" s="303"/>
      <c r="E4" s="303"/>
      <c r="F4" s="304"/>
    </row>
    <row r="5" spans="1:6" ht="15" x14ac:dyDescent="0.2">
      <c r="A5" s="305" t="s">
        <v>503</v>
      </c>
      <c r="B5" s="305"/>
      <c r="C5" s="305"/>
      <c r="D5" s="243" t="s">
        <v>566</v>
      </c>
      <c r="E5" s="243" t="s">
        <v>557</v>
      </c>
      <c r="F5" s="243" t="s">
        <v>560</v>
      </c>
    </row>
    <row r="6" spans="1:6" x14ac:dyDescent="0.2">
      <c r="A6" s="306" t="s">
        <v>563</v>
      </c>
      <c r="B6" s="307"/>
      <c r="C6" s="308"/>
      <c r="D6" s="255">
        <v>1</v>
      </c>
      <c r="E6" s="256" t="s">
        <v>565</v>
      </c>
      <c r="F6" s="257" t="s">
        <v>524</v>
      </c>
    </row>
    <row r="7" spans="1:6" x14ac:dyDescent="0.2">
      <c r="A7" s="306" t="s">
        <v>567</v>
      </c>
      <c r="B7" s="307"/>
      <c r="C7" s="308"/>
      <c r="D7" s="255">
        <v>1</v>
      </c>
      <c r="E7" s="256" t="s">
        <v>565</v>
      </c>
      <c r="F7" s="257" t="s">
        <v>524</v>
      </c>
    </row>
    <row r="8" spans="1:6" ht="15" x14ac:dyDescent="0.2">
      <c r="A8" s="313" t="s">
        <v>28</v>
      </c>
      <c r="B8" s="313"/>
      <c r="C8" s="314"/>
      <c r="D8" s="254">
        <f>SUM(D6:D7)</f>
        <v>2</v>
      </c>
      <c r="E8" s="243" t="s">
        <v>524</v>
      </c>
      <c r="F8" s="243" t="s">
        <v>524</v>
      </c>
    </row>
    <row r="9" spans="1:6" ht="4.5" customHeight="1" x14ac:dyDescent="0.2">
      <c r="A9" s="244"/>
      <c r="B9" s="245"/>
      <c r="C9" s="244"/>
      <c r="D9" s="246"/>
      <c r="E9" s="247"/>
      <c r="F9" s="246"/>
    </row>
    <row r="10" spans="1:6" ht="15.75" x14ac:dyDescent="0.2">
      <c r="A10" s="302" t="s">
        <v>562</v>
      </c>
      <c r="B10" s="303"/>
      <c r="C10" s="303"/>
      <c r="D10" s="303"/>
      <c r="E10" s="303"/>
      <c r="F10" s="304"/>
    </row>
    <row r="11" spans="1:6" ht="15" x14ac:dyDescent="0.2">
      <c r="A11" s="305" t="s">
        <v>503</v>
      </c>
      <c r="B11" s="305"/>
      <c r="C11" s="305"/>
      <c r="D11" s="243" t="s">
        <v>556</v>
      </c>
      <c r="E11" s="243" t="s">
        <v>557</v>
      </c>
      <c r="F11" s="243" t="s">
        <v>560</v>
      </c>
    </row>
    <row r="12" spans="1:6" x14ac:dyDescent="0.2">
      <c r="A12" s="306" t="s">
        <v>563</v>
      </c>
      <c r="B12" s="307"/>
      <c r="C12" s="308"/>
      <c r="D12" s="255">
        <v>6.3</v>
      </c>
      <c r="E12" s="256" t="s">
        <v>564</v>
      </c>
      <c r="F12" s="257" t="s">
        <v>524</v>
      </c>
    </row>
    <row r="13" spans="1:6" x14ac:dyDescent="0.2">
      <c r="A13" s="306" t="s">
        <v>567</v>
      </c>
      <c r="B13" s="307"/>
      <c r="C13" s="308"/>
      <c r="D13" s="255">
        <v>3</v>
      </c>
      <c r="E13" s="256" t="s">
        <v>564</v>
      </c>
      <c r="F13" s="257" t="s">
        <v>524</v>
      </c>
    </row>
    <row r="14" spans="1:6" ht="15" x14ac:dyDescent="0.2">
      <c r="A14" s="313" t="s">
        <v>28</v>
      </c>
      <c r="B14" s="313"/>
      <c r="C14" s="314"/>
      <c r="D14" s="254">
        <f>SUM(D12:D13)</f>
        <v>9.3000000000000007</v>
      </c>
      <c r="E14" s="243" t="s">
        <v>524</v>
      </c>
      <c r="F14" s="243" t="s">
        <v>524</v>
      </c>
    </row>
    <row r="15" spans="1:6" ht="4.5" customHeight="1" x14ac:dyDescent="0.2">
      <c r="A15" s="244"/>
      <c r="B15" s="245"/>
      <c r="C15" s="244"/>
      <c r="D15" s="246"/>
      <c r="E15" s="247"/>
      <c r="F15" s="246"/>
    </row>
    <row r="16" spans="1:6" ht="15.75" x14ac:dyDescent="0.2">
      <c r="A16" s="302" t="s">
        <v>558</v>
      </c>
      <c r="B16" s="303"/>
      <c r="C16" s="303"/>
      <c r="D16" s="303"/>
      <c r="E16" s="303"/>
      <c r="F16" s="304"/>
    </row>
    <row r="17" spans="1:6" ht="15" x14ac:dyDescent="0.2">
      <c r="A17" s="305" t="s">
        <v>503</v>
      </c>
      <c r="B17" s="305"/>
      <c r="C17" s="305"/>
      <c r="D17" s="243" t="s">
        <v>559</v>
      </c>
      <c r="E17" s="243" t="s">
        <v>557</v>
      </c>
      <c r="F17" s="243" t="s">
        <v>560</v>
      </c>
    </row>
    <row r="18" spans="1:6" x14ac:dyDescent="0.2">
      <c r="A18" s="306" t="s">
        <v>563</v>
      </c>
      <c r="B18" s="307"/>
      <c r="C18" s="308"/>
      <c r="D18" s="255">
        <v>1</v>
      </c>
      <c r="E18" s="256" t="s">
        <v>568</v>
      </c>
      <c r="F18" s="257" t="s">
        <v>524</v>
      </c>
    </row>
    <row r="19" spans="1:6" x14ac:dyDescent="0.2">
      <c r="A19" s="306" t="s">
        <v>567</v>
      </c>
      <c r="B19" s="307"/>
      <c r="C19" s="308"/>
      <c r="D19" s="255">
        <v>1</v>
      </c>
      <c r="E19" s="256" t="s">
        <v>568</v>
      </c>
      <c r="F19" s="257" t="s">
        <v>524</v>
      </c>
    </row>
    <row r="20" spans="1:6" ht="15" x14ac:dyDescent="0.2">
      <c r="A20" s="313" t="s">
        <v>28</v>
      </c>
      <c r="B20" s="313"/>
      <c r="C20" s="314"/>
      <c r="D20" s="254">
        <f>SUM(D18:D19)</f>
        <v>2</v>
      </c>
      <c r="E20" s="243" t="s">
        <v>524</v>
      </c>
      <c r="F20" s="243" t="s">
        <v>524</v>
      </c>
    </row>
    <row r="21" spans="1:6" ht="4.5" customHeight="1" x14ac:dyDescent="0.2">
      <c r="A21" s="244"/>
      <c r="B21" s="245"/>
      <c r="C21" s="244"/>
      <c r="D21" s="246"/>
      <c r="E21" s="247"/>
      <c r="F21" s="246"/>
    </row>
  </sheetData>
  <mergeCells count="17">
    <mergeCell ref="A20:C20"/>
    <mergeCell ref="A7:C7"/>
    <mergeCell ref="A10:F10"/>
    <mergeCell ref="A11:C11"/>
    <mergeCell ref="A13:C13"/>
    <mergeCell ref="A8:C8"/>
    <mergeCell ref="A14:C14"/>
    <mergeCell ref="A17:C17"/>
    <mergeCell ref="A18:C18"/>
    <mergeCell ref="A19:C19"/>
    <mergeCell ref="A12:C12"/>
    <mergeCell ref="A16:F16"/>
    <mergeCell ref="A4:F4"/>
    <mergeCell ref="A5:C5"/>
    <mergeCell ref="A6:C6"/>
    <mergeCell ref="A1:F1"/>
    <mergeCell ref="A2:F2"/>
  </mergeCells>
  <pageMargins left="0.51181102362204722" right="0.51181102362204722" top="1.5748031496062993" bottom="0.78740157480314965" header="0.31496062992125984" footer="0.31496062992125984"/>
  <pageSetup paperSize="9" scale="9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79969-ADC0-4E14-90E6-09C562F4AF1E}">
  <sheetPr>
    <tabColor rgb="FFFF0000"/>
  </sheetPr>
  <dimension ref="A1:G7"/>
  <sheetViews>
    <sheetView view="pageBreakPreview" zoomScale="115" zoomScaleNormal="100" zoomScaleSheetLayoutView="115" workbookViewId="0">
      <selection activeCell="E24" sqref="E24"/>
    </sheetView>
  </sheetViews>
  <sheetFormatPr defaultColWidth="8.83203125" defaultRowHeight="12.75" x14ac:dyDescent="0.2"/>
  <cols>
    <col min="1" max="1" width="7.83203125" style="64" bestFit="1" customWidth="1"/>
    <col min="2" max="2" width="5" style="64" customWidth="1"/>
    <col min="3" max="3" width="7.83203125" style="64" bestFit="1" customWidth="1"/>
    <col min="4" max="6" width="20.1640625" style="64" customWidth="1"/>
    <col min="7" max="7" width="20" style="64" customWidth="1"/>
    <col min="8" max="16384" width="8.83203125" style="64"/>
  </cols>
  <sheetData>
    <row r="1" spans="1:7" ht="18.75" x14ac:dyDescent="0.3">
      <c r="A1" s="309" t="s">
        <v>547</v>
      </c>
      <c r="B1" s="309"/>
      <c r="C1" s="309"/>
      <c r="D1" s="309"/>
      <c r="E1" s="309"/>
      <c r="F1" s="309"/>
      <c r="G1" s="309"/>
    </row>
    <row r="2" spans="1:7" ht="18" customHeight="1" x14ac:dyDescent="0.2">
      <c r="A2" s="310" t="s">
        <v>548</v>
      </c>
      <c r="B2" s="311"/>
      <c r="C2" s="311"/>
      <c r="D2" s="311"/>
      <c r="E2" s="311"/>
      <c r="F2" s="311"/>
      <c r="G2" s="312"/>
    </row>
    <row r="3" spans="1:7" ht="15" x14ac:dyDescent="0.2">
      <c r="A3" s="305" t="s">
        <v>545</v>
      </c>
      <c r="B3" s="305"/>
      <c r="C3" s="305"/>
      <c r="D3" s="243" t="s">
        <v>549</v>
      </c>
      <c r="E3" s="243" t="s">
        <v>550</v>
      </c>
      <c r="F3" s="243" t="s">
        <v>551</v>
      </c>
      <c r="G3" s="243" t="s">
        <v>476</v>
      </c>
    </row>
    <row r="4" spans="1:7" x14ac:dyDescent="0.2">
      <c r="A4" s="244" t="s">
        <v>554</v>
      </c>
      <c r="B4" s="245" t="s">
        <v>546</v>
      </c>
      <c r="C4" s="244" t="s">
        <v>555</v>
      </c>
      <c r="D4" s="246">
        <v>114</v>
      </c>
      <c r="E4" s="246">
        <v>7.0205900000000003</v>
      </c>
      <c r="F4" s="246">
        <f>D4*E4</f>
        <v>800.34726000000001</v>
      </c>
      <c r="G4" s="246" t="s">
        <v>552</v>
      </c>
    </row>
    <row r="5" spans="1:7" x14ac:dyDescent="0.2">
      <c r="A5" s="244" t="s">
        <v>554</v>
      </c>
      <c r="B5" s="245" t="s">
        <v>546</v>
      </c>
      <c r="C5" s="244" t="s">
        <v>555</v>
      </c>
      <c r="D5" s="249">
        <v>114</v>
      </c>
      <c r="E5" s="249">
        <v>7.6829200000000002</v>
      </c>
      <c r="F5" s="246">
        <f>D5*E5</f>
        <v>875.85288000000003</v>
      </c>
      <c r="G5" s="246" t="s">
        <v>553</v>
      </c>
    </row>
    <row r="6" spans="1:7" ht="15" x14ac:dyDescent="0.2">
      <c r="A6" s="315" t="s">
        <v>28</v>
      </c>
      <c r="B6" s="316"/>
      <c r="C6" s="316"/>
      <c r="D6" s="316"/>
      <c r="E6" s="317"/>
      <c r="F6" s="248">
        <f>SUM(F4:F5)</f>
        <v>1676.2001399999999</v>
      </c>
      <c r="G6" s="243"/>
    </row>
    <row r="7" spans="1:7" ht="4.5" customHeight="1" x14ac:dyDescent="0.2">
      <c r="A7" s="250"/>
      <c r="B7" s="251"/>
      <c r="C7" s="250"/>
      <c r="D7" s="252"/>
      <c r="E7" s="253"/>
      <c r="F7" s="247"/>
      <c r="G7" s="246"/>
    </row>
  </sheetData>
  <mergeCells count="4">
    <mergeCell ref="A6:E6"/>
    <mergeCell ref="A1:G1"/>
    <mergeCell ref="A2:G2"/>
    <mergeCell ref="A3:C3"/>
  </mergeCells>
  <pageMargins left="0.51181102362204722" right="0.51181102362204722" top="1.5748031496062993" bottom="0.78740157480314965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7D49-93B6-4263-B2C8-0ECB172C875B}">
  <sheetPr>
    <tabColor rgb="FF00B050"/>
  </sheetPr>
  <dimension ref="A1:M19"/>
  <sheetViews>
    <sheetView view="pageBreakPreview" zoomScale="80" zoomScaleNormal="80" zoomScaleSheetLayoutView="80" workbookViewId="0">
      <selection activeCell="C19" sqref="C19"/>
    </sheetView>
  </sheetViews>
  <sheetFormatPr defaultColWidth="9.33203125" defaultRowHeight="12.75" x14ac:dyDescent="0.2"/>
  <cols>
    <col min="1" max="1" width="14.1640625" style="44" customWidth="1"/>
    <col min="2" max="2" width="77.5" style="44" customWidth="1"/>
    <col min="3" max="3" width="25.33203125" style="45" bestFit="1" customWidth="1"/>
    <col min="4" max="4" width="24.33203125" style="44" customWidth="1"/>
    <col min="5" max="5" width="22" style="44" customWidth="1"/>
    <col min="6" max="6" width="15.33203125" style="44" bestFit="1" customWidth="1"/>
    <col min="7" max="16384" width="9.33203125" style="44"/>
  </cols>
  <sheetData>
    <row r="1" spans="1:13" ht="12.75" customHeight="1" x14ac:dyDescent="0.2">
      <c r="A1" s="320" t="s">
        <v>0</v>
      </c>
      <c r="B1" s="320"/>
      <c r="C1" s="320"/>
      <c r="D1" s="319"/>
      <c r="E1" s="18"/>
      <c r="F1" s="18"/>
      <c r="G1" s="18"/>
      <c r="H1" s="18"/>
      <c r="I1" s="13"/>
      <c r="J1" s="11"/>
      <c r="K1" s="11"/>
      <c r="L1" s="11"/>
      <c r="M1" s="11"/>
    </row>
    <row r="2" spans="1:13" x14ac:dyDescent="0.2">
      <c r="A2" s="320"/>
      <c r="B2" s="320"/>
      <c r="C2" s="320"/>
      <c r="D2" s="319"/>
      <c r="E2" s="18"/>
      <c r="F2" s="18"/>
      <c r="G2" s="18"/>
      <c r="H2" s="18"/>
      <c r="I2" s="13"/>
      <c r="J2" s="11"/>
      <c r="K2" s="11"/>
      <c r="L2" s="11"/>
      <c r="M2" s="11"/>
    </row>
    <row r="3" spans="1:13" x14ac:dyDescent="0.2">
      <c r="A3" s="320"/>
      <c r="B3" s="320"/>
      <c r="C3" s="320"/>
      <c r="D3" s="319"/>
      <c r="E3" s="22"/>
      <c r="F3" s="22"/>
      <c r="G3" s="22"/>
      <c r="H3" s="22"/>
      <c r="I3" s="13"/>
      <c r="J3" s="11"/>
      <c r="K3" s="11"/>
      <c r="L3" s="11"/>
      <c r="M3" s="11"/>
    </row>
    <row r="4" spans="1:13" ht="29.25" customHeight="1" x14ac:dyDescent="0.2">
      <c r="A4" s="320" t="s">
        <v>498</v>
      </c>
      <c r="B4" s="320"/>
      <c r="C4" s="320"/>
      <c r="D4" s="319"/>
      <c r="E4" s="18"/>
      <c r="F4" s="18"/>
      <c r="G4" s="18"/>
      <c r="H4" s="18"/>
      <c r="I4" s="18"/>
      <c r="J4" s="11"/>
      <c r="K4" s="11"/>
      <c r="L4" s="11"/>
      <c r="M4" s="11"/>
    </row>
    <row r="5" spans="1:13" ht="15.75" x14ac:dyDescent="0.2">
      <c r="A5" s="321" t="s">
        <v>485</v>
      </c>
      <c r="B5" s="321"/>
      <c r="C5" s="321"/>
      <c r="D5" s="321"/>
      <c r="E5" s="46"/>
      <c r="F5" s="46"/>
      <c r="G5" s="46"/>
      <c r="H5" s="46"/>
      <c r="I5" s="46"/>
      <c r="J5" s="46"/>
      <c r="K5" s="46"/>
      <c r="L5" s="46"/>
      <c r="M5" s="46"/>
    </row>
    <row r="6" spans="1:13" ht="15.75" customHeight="1" x14ac:dyDescent="0.2">
      <c r="A6" s="48" t="s">
        <v>6</v>
      </c>
      <c r="B6" s="49" t="s">
        <v>7</v>
      </c>
      <c r="C6" s="142" t="s">
        <v>22</v>
      </c>
      <c r="D6" s="142">
        <f>'BOLETIM DE MEDIÇÃO'!F8</f>
        <v>23</v>
      </c>
      <c r="E6" s="74"/>
      <c r="F6" s="13"/>
      <c r="G6" s="13"/>
      <c r="H6" s="13"/>
      <c r="I6" s="14"/>
      <c r="J6" s="11"/>
      <c r="K6" s="11"/>
      <c r="L6" s="11"/>
      <c r="M6" s="14"/>
    </row>
    <row r="7" spans="1:13" ht="21" customHeight="1" x14ac:dyDescent="0.2">
      <c r="A7" s="48" t="s">
        <v>3</v>
      </c>
      <c r="B7" s="48" t="s">
        <v>23</v>
      </c>
      <c r="C7" s="48" t="s">
        <v>24</v>
      </c>
      <c r="D7" s="143" t="str">
        <f>'BOLETIM DE MEDIÇÃO'!F9</f>
        <v>01/01/26 à 31/01/26</v>
      </c>
      <c r="E7" s="47"/>
      <c r="F7" s="47"/>
      <c r="G7" s="47"/>
      <c r="H7" s="47"/>
      <c r="I7" s="47"/>
      <c r="J7" s="47"/>
      <c r="K7" s="47"/>
      <c r="L7" s="47"/>
      <c r="M7" s="47"/>
    </row>
    <row r="10" spans="1:13" ht="15" x14ac:dyDescent="0.2">
      <c r="B10" s="50" t="s">
        <v>478</v>
      </c>
      <c r="C10" s="51">
        <v>2983569.29</v>
      </c>
    </row>
    <row r="11" spans="1:13" ht="15" x14ac:dyDescent="0.2">
      <c r="B11" s="52" t="s">
        <v>479</v>
      </c>
      <c r="C11" s="51">
        <v>9304636.8000000007</v>
      </c>
    </row>
    <row r="12" spans="1:13" ht="15" x14ac:dyDescent="0.2">
      <c r="B12" s="52" t="s">
        <v>480</v>
      </c>
      <c r="C12" s="53">
        <f>RESUMO!C24</f>
        <v>12288206.060000001</v>
      </c>
    </row>
    <row r="13" spans="1:13" ht="15" x14ac:dyDescent="0.2">
      <c r="B13" s="54" t="s">
        <v>481</v>
      </c>
      <c r="C13" s="55">
        <f>RESUMO!C22</f>
        <v>240284.78999999998</v>
      </c>
    </row>
    <row r="14" spans="1:13" ht="15" x14ac:dyDescent="0.2">
      <c r="B14" s="54" t="s">
        <v>482</v>
      </c>
      <c r="C14" s="55">
        <f>C12-C13</f>
        <v>12047921.270000001</v>
      </c>
    </row>
    <row r="15" spans="1:13" ht="15" x14ac:dyDescent="0.2">
      <c r="B15" s="56" t="s">
        <v>483</v>
      </c>
      <c r="C15" s="77">
        <f>C13/C14</f>
        <v>1.9944087001823506E-2</v>
      </c>
      <c r="F15" s="68"/>
    </row>
    <row r="16" spans="1:13" ht="15" x14ac:dyDescent="0.2">
      <c r="B16" s="57"/>
      <c r="C16" s="58"/>
    </row>
    <row r="17" spans="2:4" ht="15" x14ac:dyDescent="0.2">
      <c r="B17" s="318" t="s">
        <v>500</v>
      </c>
      <c r="C17" s="318"/>
    </row>
    <row r="18" spans="2:4" ht="15" x14ac:dyDescent="0.2">
      <c r="B18" s="56" t="s">
        <v>496</v>
      </c>
      <c r="C18" s="55">
        <f>'BOLETIM DE MEDIÇÃO'!N207-'BOLETIM DE MEDIÇÃO'!N192</f>
        <v>263847.48999999993</v>
      </c>
      <c r="D18" s="59"/>
    </row>
    <row r="19" spans="2:4" ht="15" x14ac:dyDescent="0.2">
      <c r="B19" s="54" t="s">
        <v>501</v>
      </c>
      <c r="C19" s="216">
        <f>C18/C14</f>
        <v>2.1899835173806701E-2</v>
      </c>
    </row>
  </sheetData>
  <mergeCells count="5">
    <mergeCell ref="B17:C17"/>
    <mergeCell ref="D1:D4"/>
    <mergeCell ref="A1:C3"/>
    <mergeCell ref="A4:C4"/>
    <mergeCell ref="A5:D5"/>
  </mergeCells>
  <pageMargins left="2.2834645669291338" right="0.51181102362204722" top="1.181102362204724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RESUMO</vt:lpstr>
      <vt:lpstr>BOLETIM DE MEDIÇÃO</vt:lpstr>
      <vt:lpstr>PAVIMENTAÇÃO </vt:lpstr>
      <vt:lpstr>AQUISIÇÃO MAT. BETUMINOSOS</vt:lpstr>
      <vt:lpstr>DRENAGEM PLUVIAL </vt:lpstr>
      <vt:lpstr>HIDROSSEMEADURA </vt:lpstr>
      <vt:lpstr>ADM LOCAL</vt:lpstr>
      <vt:lpstr>'ADM LOCAL'!Area_de_impressao</vt:lpstr>
      <vt:lpstr>'AQUISIÇÃO MAT. BETUMINOSOS'!Area_de_impressao</vt:lpstr>
      <vt:lpstr>'BOLETIM DE MEDIÇÃO'!Area_de_impressao</vt:lpstr>
      <vt:lpstr>'DRENAGEM PLUVIAL '!Area_de_impressao</vt:lpstr>
      <vt:lpstr>'HIDROSSEMEADURA '!Area_de_impressao</vt:lpstr>
      <vt:lpstr>'PAVIMENTAÇÃO '!Area_de_impressao</vt:lpstr>
      <vt:lpstr>RESUMO!Area_de_impressao</vt:lpstr>
      <vt:lpstr>'BOLETIM DE MEDIÇÃO'!Titulos_de_impressao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Leone Rafael</dc:creator>
  <cp:keywords/>
  <dc:description/>
  <cp:lastModifiedBy>Bruno-Not</cp:lastModifiedBy>
  <cp:revision/>
  <cp:lastPrinted>2026-01-06T16:43:16Z</cp:lastPrinted>
  <dcterms:created xsi:type="dcterms:W3CDTF">2023-02-08T12:25:36Z</dcterms:created>
  <dcterms:modified xsi:type="dcterms:W3CDTF">2026-02-03T11:21:46Z</dcterms:modified>
  <cp:category/>
  <cp:contentStatus/>
</cp:coreProperties>
</file>